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umweltbundesamt.at\Projekte\20000\20624_CBAM\Intern\02 CBAM Embed Em\03 Task 2 Transitional Period\02 Task 2.2a Templates\"/>
    </mc:Choice>
  </mc:AlternateContent>
  <bookViews>
    <workbookView xWindow="16350" yWindow="-105" windowWidth="22155" windowHeight="11955" tabRatio="567"/>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 i="33" l="1"/>
  <c r="B2125" i="5"/>
  <c r="O25" i="33" l="1"/>
  <c r="B2124" i="5"/>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L13" i="33" l="1"/>
  <c r="AL12" i="33"/>
  <c r="AL10" i="33"/>
  <c r="B2117" i="5"/>
  <c r="AM13" i="33"/>
  <c r="AM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X25" i="33"/>
  <c r="AR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Z25" i="33"/>
  <c r="AV25" i="33"/>
  <c r="AU25" i="33"/>
  <c r="AT25" i="33"/>
  <c r="AQ25" i="33"/>
  <c r="AO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N25" i="33"/>
  <c r="M25" i="33"/>
  <c r="L25" i="33"/>
  <c r="K25" i="33"/>
  <c r="J25" i="33"/>
  <c r="I25" i="33"/>
  <c r="H25" i="33"/>
  <c r="G25" i="33"/>
  <c r="F25" i="33"/>
  <c r="E25" i="33"/>
  <c r="D25" i="33"/>
  <c r="D23" i="33"/>
  <c r="AA21" i="33"/>
  <c r="AA20" i="33"/>
  <c r="D21" i="33"/>
  <c r="AA19" i="33"/>
  <c r="D20" i="33"/>
  <c r="D19" i="33"/>
  <c r="AA17" i="33"/>
  <c r="D18" i="33"/>
  <c r="AA16" i="33"/>
  <c r="D17" i="33"/>
  <c r="AA15" i="33"/>
  <c r="D16" i="33"/>
  <c r="D14" i="33"/>
  <c r="D13" i="33"/>
  <c r="D12" i="33"/>
  <c r="AG11" i="33"/>
  <c r="AE11" i="33"/>
  <c r="AC11" i="33"/>
  <c r="AA11" i="33"/>
  <c r="S11" i="33"/>
  <c r="R11" i="33"/>
  <c r="O11" i="33"/>
  <c r="N11" i="33"/>
  <c r="M11" i="33"/>
  <c r="L11" i="33"/>
  <c r="K11" i="33"/>
  <c r="J11" i="33"/>
  <c r="I11" i="33"/>
  <c r="G11" i="33"/>
  <c r="D11" i="33"/>
  <c r="AA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D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F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W112"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V112" i="28"/>
  <c r="S116" i="28"/>
  <c r="S112"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U112" i="28"/>
  <c r="AA116" i="28"/>
  <c r="AA112" i="28"/>
  <c r="V188" i="28"/>
  <c r="V172" i="28"/>
  <c r="T153" i="28"/>
  <c r="W141" i="28"/>
  <c r="Y136" i="28"/>
  <c r="Y132" i="28"/>
  <c r="AA127" i="28"/>
  <c r="W125" i="28"/>
  <c r="W121" i="28"/>
  <c r="W117" i="28"/>
  <c r="Y112"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T112"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Z112" i="28"/>
  <c r="R112" i="28"/>
  <c r="W206" i="28"/>
  <c r="R182" i="28"/>
  <c r="Z178" i="28"/>
  <c r="X175" i="28"/>
  <c r="Z162" i="28"/>
  <c r="AA143" i="28"/>
  <c r="S139" i="28"/>
  <c r="U134" i="28"/>
  <c r="U130" i="28"/>
  <c r="Y124" i="28"/>
  <c r="AA119" i="28"/>
  <c r="U114" i="28"/>
  <c r="U191" i="28"/>
  <c r="AA168" i="28"/>
  <c r="Y149" i="28"/>
  <c r="X140" i="28"/>
  <c r="R135" i="28"/>
  <c r="T130" i="28"/>
  <c r="V125" i="28"/>
  <c r="V121" i="28"/>
  <c r="X116" i="28"/>
  <c r="X112"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D20" i="33"/>
  <c r="AG12" i="33"/>
  <c r="AE12" i="33"/>
  <c r="AC12" i="33"/>
  <c r="AA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R125" i="33" l="1"/>
  <c r="R124" i="33"/>
  <c r="R123" i="33"/>
  <c r="R122" i="33"/>
  <c r="R121" i="33"/>
  <c r="R120" i="33"/>
  <c r="R119" i="33"/>
  <c r="R118" i="33"/>
  <c r="R117" i="33"/>
  <c r="R116" i="33"/>
  <c r="R115" i="33"/>
  <c r="R114" i="33"/>
  <c r="R113" i="33"/>
  <c r="R112" i="33"/>
  <c r="R111" i="33"/>
  <c r="R110" i="33"/>
  <c r="R109" i="33"/>
  <c r="R108" i="33"/>
  <c r="R107" i="33"/>
  <c r="R106" i="33"/>
  <c r="R105" i="33"/>
  <c r="R104" i="33"/>
  <c r="R103" i="33"/>
  <c r="R102" i="33"/>
  <c r="R101" i="33"/>
  <c r="R100" i="33"/>
  <c r="R99" i="33"/>
  <c r="R98" i="33"/>
  <c r="R97" i="33"/>
  <c r="R96" i="33"/>
  <c r="R95" i="33"/>
  <c r="R94" i="33"/>
  <c r="R93" i="33"/>
  <c r="R92" i="33"/>
  <c r="R91" i="33"/>
  <c r="R90" i="33"/>
  <c r="R89" i="33"/>
  <c r="R88" i="33"/>
  <c r="R87" i="33"/>
  <c r="R86" i="33"/>
  <c r="R85" i="33"/>
  <c r="R84" i="33"/>
  <c r="R83" i="33"/>
  <c r="R82" i="33"/>
  <c r="R81" i="33"/>
  <c r="R80" i="33"/>
  <c r="R79" i="33"/>
  <c r="R78" i="33"/>
  <c r="R77" i="33"/>
  <c r="R76" i="33"/>
  <c r="R75" i="33"/>
  <c r="R74" i="33"/>
  <c r="R73" i="33"/>
  <c r="R72" i="33"/>
  <c r="R71" i="33"/>
  <c r="R70" i="33"/>
  <c r="R69" i="33"/>
  <c r="R68" i="33"/>
  <c r="R67" i="33"/>
  <c r="R66" i="33"/>
  <c r="R65" i="33"/>
  <c r="R64" i="33"/>
  <c r="R63" i="33"/>
  <c r="R62" i="33"/>
  <c r="R61" i="33"/>
  <c r="R60" i="33"/>
  <c r="R59" i="33"/>
  <c r="R58" i="33"/>
  <c r="R57" i="33"/>
  <c r="R56" i="33"/>
  <c r="R55" i="33"/>
  <c r="R54" i="33"/>
  <c r="R53" i="33"/>
  <c r="R52" i="33"/>
  <c r="R51" i="33"/>
  <c r="R50" i="33"/>
  <c r="R49" i="33"/>
  <c r="R48" i="33"/>
  <c r="R47" i="33"/>
  <c r="R46" i="33"/>
  <c r="R45" i="33"/>
  <c r="R44" i="33"/>
  <c r="R43" i="33"/>
  <c r="R42" i="33"/>
  <c r="R41" i="33"/>
  <c r="R40" i="33"/>
  <c r="R39" i="33"/>
  <c r="R38" i="33"/>
  <c r="R37" i="33"/>
  <c r="R36" i="33"/>
  <c r="R35" i="33"/>
  <c r="R34" i="33"/>
  <c r="R33" i="33"/>
  <c r="R32" i="33"/>
  <c r="R31" i="33"/>
  <c r="R30" i="33"/>
  <c r="R29" i="33"/>
  <c r="R28" i="33"/>
  <c r="R27" i="33"/>
  <c r="R26" i="33"/>
  <c r="D80" i="7"/>
  <c r="D79" i="7"/>
  <c r="D78" i="7"/>
  <c r="D77" i="7"/>
  <c r="D76" i="7"/>
  <c r="D75" i="7"/>
  <c r="D74" i="7"/>
  <c r="D73" i="7"/>
  <c r="D72" i="7"/>
  <c r="D71" i="7"/>
  <c r="R42" i="16"/>
  <c r="I3" i="38"/>
  <c r="E158" i="31" l="1"/>
  <c r="AF162" i="7"/>
  <c r="E63" i="31"/>
  <c r="K17" i="16"/>
  <c r="J17" i="16"/>
  <c r="I17" i="16"/>
  <c r="G2" i="33"/>
  <c r="H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I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T125" i="33"/>
  <c r="AT124" i="33"/>
  <c r="AT123" i="33"/>
  <c r="AT122" i="33"/>
  <c r="AT121" i="33"/>
  <c r="AT120" i="33"/>
  <c r="AT119" i="33"/>
  <c r="AT118" i="33"/>
  <c r="AT117" i="33"/>
  <c r="AT116" i="33"/>
  <c r="AT115" i="33"/>
  <c r="AT114" i="33"/>
  <c r="AT113" i="33"/>
  <c r="AT112" i="33"/>
  <c r="AT111" i="33"/>
  <c r="AT110" i="33"/>
  <c r="AT109" i="33"/>
  <c r="AT108" i="33"/>
  <c r="AT107" i="33"/>
  <c r="AT106" i="33"/>
  <c r="AT105" i="33"/>
  <c r="AT104" i="33"/>
  <c r="AT103" i="33"/>
  <c r="AT102" i="33"/>
  <c r="AT101" i="33"/>
  <c r="AT100" i="33"/>
  <c r="AT99" i="33"/>
  <c r="AT98" i="33"/>
  <c r="AT97" i="33"/>
  <c r="AT96" i="33"/>
  <c r="AT95" i="33"/>
  <c r="AT94" i="33"/>
  <c r="AT93" i="33"/>
  <c r="AT92" i="33"/>
  <c r="AT91" i="33"/>
  <c r="AT90" i="33"/>
  <c r="AT89" i="33"/>
  <c r="AT88" i="33"/>
  <c r="AT87" i="33"/>
  <c r="AT86" i="33"/>
  <c r="AT85" i="33"/>
  <c r="AT84" i="33"/>
  <c r="AT83" i="33"/>
  <c r="AT82" i="33"/>
  <c r="AT81" i="33"/>
  <c r="AT80" i="33"/>
  <c r="AT79" i="33"/>
  <c r="AT78" i="33"/>
  <c r="AT77" i="33"/>
  <c r="AT76" i="33"/>
  <c r="AT75" i="33"/>
  <c r="AT74" i="33"/>
  <c r="AT73" i="33"/>
  <c r="AT72" i="33"/>
  <c r="AT71" i="33"/>
  <c r="AT70" i="33"/>
  <c r="AT69" i="33"/>
  <c r="AT68" i="33"/>
  <c r="AT67" i="33"/>
  <c r="AT66" i="33"/>
  <c r="AT65" i="33"/>
  <c r="AT64" i="33"/>
  <c r="AT63" i="33"/>
  <c r="AT62" i="33"/>
  <c r="AT61" i="33"/>
  <c r="AT60" i="33"/>
  <c r="AT59" i="33"/>
  <c r="AT58" i="33"/>
  <c r="AT57" i="33"/>
  <c r="AT56" i="33"/>
  <c r="AT55" i="33"/>
  <c r="AT54" i="33"/>
  <c r="AT53" i="33"/>
  <c r="AT52" i="33"/>
  <c r="AT51" i="33"/>
  <c r="AT50" i="33"/>
  <c r="AT49" i="33"/>
  <c r="AT48" i="33"/>
  <c r="AT47" i="33"/>
  <c r="AT46" i="33"/>
  <c r="AT45" i="33"/>
  <c r="AT44" i="33"/>
  <c r="AT43" i="33"/>
  <c r="AT42" i="33"/>
  <c r="AT41" i="33"/>
  <c r="AT40" i="33"/>
  <c r="AT39" i="33"/>
  <c r="AT38" i="33"/>
  <c r="AT37" i="33"/>
  <c r="AT36" i="33"/>
  <c r="AT35" i="33"/>
  <c r="AT34" i="33"/>
  <c r="AT33" i="33"/>
  <c r="AT32" i="33"/>
  <c r="AT31" i="33"/>
  <c r="AT29" i="33"/>
  <c r="AT28" i="33"/>
  <c r="AT27" i="33"/>
  <c r="AT26" i="33"/>
  <c r="AM125" i="33"/>
  <c r="AM124" i="33"/>
  <c r="AM123" i="33"/>
  <c r="AM122" i="33"/>
  <c r="AM121" i="33"/>
  <c r="AM120" i="33"/>
  <c r="AM119" i="33"/>
  <c r="AM118" i="33"/>
  <c r="AM117" i="33"/>
  <c r="AM116" i="33"/>
  <c r="AM115" i="33"/>
  <c r="AM114" i="33"/>
  <c r="AM113" i="33"/>
  <c r="AM112" i="33"/>
  <c r="AM111" i="33"/>
  <c r="AM110" i="33"/>
  <c r="AM109" i="33"/>
  <c r="AM108" i="33"/>
  <c r="AM107" i="33"/>
  <c r="AM106" i="33"/>
  <c r="AM105" i="33"/>
  <c r="AM104" i="33"/>
  <c r="AM103" i="33"/>
  <c r="AM102" i="33"/>
  <c r="AM101" i="33"/>
  <c r="AM100" i="33"/>
  <c r="AM99" i="33"/>
  <c r="AM98" i="33"/>
  <c r="AM97" i="33"/>
  <c r="AM96" i="33"/>
  <c r="AM95" i="33"/>
  <c r="AM94" i="33"/>
  <c r="AM93" i="33"/>
  <c r="AM92" i="33"/>
  <c r="AM91" i="33"/>
  <c r="AM90" i="33"/>
  <c r="AM89" i="33"/>
  <c r="AM88" i="33"/>
  <c r="AM87" i="33"/>
  <c r="AM86" i="33"/>
  <c r="AM85" i="33"/>
  <c r="AM84" i="33"/>
  <c r="AM83" i="33"/>
  <c r="AM82" i="33"/>
  <c r="AM81" i="33"/>
  <c r="AM80" i="33"/>
  <c r="AM79" i="33"/>
  <c r="AM78" i="33"/>
  <c r="AM77" i="33"/>
  <c r="AM76" i="33"/>
  <c r="AM75" i="33"/>
  <c r="AM74" i="33"/>
  <c r="AM73" i="33"/>
  <c r="AM72" i="33"/>
  <c r="AM71" i="33"/>
  <c r="AM70" i="33"/>
  <c r="AM69" i="33"/>
  <c r="AM68" i="33"/>
  <c r="AM67" i="33"/>
  <c r="AM66" i="33"/>
  <c r="AM65" i="33"/>
  <c r="AM64" i="33"/>
  <c r="AM63" i="33"/>
  <c r="AM62" i="33"/>
  <c r="AM61" i="33"/>
  <c r="AM60" i="33"/>
  <c r="AM59" i="33"/>
  <c r="AM58" i="33"/>
  <c r="AM57" i="33"/>
  <c r="AM56" i="33"/>
  <c r="AM55" i="33"/>
  <c r="AM54" i="33"/>
  <c r="AM53" i="33"/>
  <c r="AM52" i="33"/>
  <c r="AM51" i="33"/>
  <c r="AM50" i="33"/>
  <c r="AM49" i="33"/>
  <c r="AM48" i="33"/>
  <c r="AM47" i="33"/>
  <c r="AM46" i="33"/>
  <c r="AM45" i="33"/>
  <c r="AM44" i="33"/>
  <c r="AM43" i="33"/>
  <c r="AM42" i="33"/>
  <c r="AM41" i="33"/>
  <c r="AM40" i="33"/>
  <c r="AM39" i="33"/>
  <c r="AM38" i="33"/>
  <c r="AM37" i="33"/>
  <c r="AM36" i="33"/>
  <c r="AM35" i="33"/>
  <c r="AM34" i="33"/>
  <c r="AM33" i="33"/>
  <c r="AM32" i="33"/>
  <c r="AM31" i="33"/>
  <c r="AM29" i="33"/>
  <c r="AM28" i="33"/>
  <c r="AM27" i="33"/>
  <c r="AM26" i="33"/>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29" i="33"/>
  <c r="Q28" i="33"/>
  <c r="Q27" i="33"/>
  <c r="Q26" i="33"/>
  <c r="AX125" i="33" l="1"/>
  <c r="AU125" i="33"/>
  <c r="AR125" i="33"/>
  <c r="AQ125" i="33"/>
  <c r="AN125" i="33"/>
  <c r="AL125" i="33"/>
  <c r="AK125" i="33"/>
  <c r="AJ125" i="33"/>
  <c r="AI125" i="33"/>
  <c r="AH125" i="33"/>
  <c r="AG125" i="33"/>
  <c r="AF125" i="33"/>
  <c r="AE125" i="33"/>
  <c r="AD125" i="33"/>
  <c r="AC125" i="33"/>
  <c r="AB125" i="33"/>
  <c r="AA125" i="33"/>
  <c r="Z125" i="33"/>
  <c r="Y125" i="33"/>
  <c r="X125" i="33"/>
  <c r="W125" i="33"/>
  <c r="V125" i="33"/>
  <c r="U125" i="33"/>
  <c r="T125" i="33"/>
  <c r="S125" i="33"/>
  <c r="H125" i="33"/>
  <c r="F125" i="33"/>
  <c r="G125" i="33" s="1"/>
  <c r="D125" i="33"/>
  <c r="AX124" i="33"/>
  <c r="AU124" i="33"/>
  <c r="AR124" i="33"/>
  <c r="AQ124" i="33"/>
  <c r="AN124" i="33"/>
  <c r="AL124" i="33"/>
  <c r="AK124" i="33"/>
  <c r="AJ124" i="33"/>
  <c r="AI124" i="33"/>
  <c r="AH124" i="33"/>
  <c r="AG124" i="33"/>
  <c r="AF124" i="33"/>
  <c r="AE124" i="33"/>
  <c r="AD124" i="33"/>
  <c r="AC124" i="33"/>
  <c r="AB124" i="33"/>
  <c r="AA124" i="33"/>
  <c r="Z124" i="33"/>
  <c r="Y124" i="33"/>
  <c r="X124" i="33"/>
  <c r="W124" i="33"/>
  <c r="V124" i="33"/>
  <c r="U124" i="33"/>
  <c r="T124" i="33"/>
  <c r="S124" i="33"/>
  <c r="H124" i="33"/>
  <c r="F124" i="33"/>
  <c r="G124" i="33" s="1"/>
  <c r="D124" i="33"/>
  <c r="AX123" i="33"/>
  <c r="AU123" i="33"/>
  <c r="AR123" i="33"/>
  <c r="AQ123" i="33"/>
  <c r="AN123" i="33"/>
  <c r="AL123" i="33"/>
  <c r="AK123" i="33"/>
  <c r="AJ123" i="33"/>
  <c r="AI123" i="33"/>
  <c r="AH123" i="33"/>
  <c r="AG123" i="33"/>
  <c r="AF123" i="33"/>
  <c r="AE123" i="33"/>
  <c r="AD123" i="33"/>
  <c r="AC123" i="33"/>
  <c r="AB123" i="33"/>
  <c r="AA123" i="33"/>
  <c r="Z123" i="33"/>
  <c r="Y123" i="33"/>
  <c r="X123" i="33"/>
  <c r="W123" i="33"/>
  <c r="V123" i="33"/>
  <c r="U123" i="33"/>
  <c r="T123" i="33"/>
  <c r="S123" i="33"/>
  <c r="H123" i="33"/>
  <c r="F123" i="33"/>
  <c r="G123" i="33" s="1"/>
  <c r="D123" i="33"/>
  <c r="AX122" i="33"/>
  <c r="AU122" i="33"/>
  <c r="AR122" i="33"/>
  <c r="AQ122" i="33"/>
  <c r="AN122" i="33"/>
  <c r="AL122" i="33"/>
  <c r="AK122" i="33"/>
  <c r="AJ122" i="33"/>
  <c r="AI122" i="33"/>
  <c r="AH122" i="33"/>
  <c r="AG122" i="33"/>
  <c r="AF122" i="33"/>
  <c r="AE122" i="33"/>
  <c r="AD122" i="33"/>
  <c r="AC122" i="33"/>
  <c r="AB122" i="33"/>
  <c r="AA122" i="33"/>
  <c r="Z122" i="33"/>
  <c r="Y122" i="33"/>
  <c r="X122" i="33"/>
  <c r="W122" i="33"/>
  <c r="V122" i="33"/>
  <c r="U122" i="33"/>
  <c r="T122" i="33"/>
  <c r="S122" i="33"/>
  <c r="H122" i="33"/>
  <c r="F122" i="33"/>
  <c r="G122" i="33" s="1"/>
  <c r="D122" i="33"/>
  <c r="AX121" i="33"/>
  <c r="AU121" i="33"/>
  <c r="AR121" i="33"/>
  <c r="AQ121" i="33"/>
  <c r="AN121" i="33"/>
  <c r="AL121" i="33"/>
  <c r="AK121" i="33"/>
  <c r="AJ121" i="33"/>
  <c r="AI121" i="33"/>
  <c r="AH121" i="33"/>
  <c r="AG121" i="33"/>
  <c r="AF121" i="33"/>
  <c r="AE121" i="33"/>
  <c r="AD121" i="33"/>
  <c r="AC121" i="33"/>
  <c r="AB121" i="33"/>
  <c r="AA121" i="33"/>
  <c r="Z121" i="33"/>
  <c r="Y121" i="33"/>
  <c r="X121" i="33"/>
  <c r="W121" i="33"/>
  <c r="V121" i="33"/>
  <c r="U121" i="33"/>
  <c r="T121" i="33"/>
  <c r="S121" i="33"/>
  <c r="H121" i="33"/>
  <c r="F121" i="33"/>
  <c r="G121" i="33" s="1"/>
  <c r="D121" i="33"/>
  <c r="AX120" i="33"/>
  <c r="AU120" i="33"/>
  <c r="AR120" i="33"/>
  <c r="AQ120" i="33"/>
  <c r="AN120" i="33"/>
  <c r="AL120" i="33"/>
  <c r="AK120" i="33"/>
  <c r="AJ120" i="33"/>
  <c r="AI120" i="33"/>
  <c r="AH120" i="33"/>
  <c r="AG120" i="33"/>
  <c r="AF120" i="33"/>
  <c r="AE120" i="33"/>
  <c r="AD120" i="33"/>
  <c r="AC120" i="33"/>
  <c r="AB120" i="33"/>
  <c r="AA120" i="33"/>
  <c r="Z120" i="33"/>
  <c r="Y120" i="33"/>
  <c r="X120" i="33"/>
  <c r="W120" i="33"/>
  <c r="V120" i="33"/>
  <c r="U120" i="33"/>
  <c r="T120" i="33"/>
  <c r="S120" i="33"/>
  <c r="H120" i="33"/>
  <c r="F120" i="33"/>
  <c r="G120" i="33" s="1"/>
  <c r="D120" i="33"/>
  <c r="AX119" i="33"/>
  <c r="AU119" i="33"/>
  <c r="AR119" i="33"/>
  <c r="AQ119" i="33"/>
  <c r="AN119" i="33"/>
  <c r="AL119" i="33"/>
  <c r="AK119" i="33"/>
  <c r="AJ119" i="33"/>
  <c r="AI119" i="33"/>
  <c r="AH119" i="33"/>
  <c r="AG119" i="33"/>
  <c r="AF119" i="33"/>
  <c r="AE119" i="33"/>
  <c r="AD119" i="33"/>
  <c r="AC119" i="33"/>
  <c r="AB119" i="33"/>
  <c r="AA119" i="33"/>
  <c r="Z119" i="33"/>
  <c r="Y119" i="33"/>
  <c r="X119" i="33"/>
  <c r="W119" i="33"/>
  <c r="V119" i="33"/>
  <c r="U119" i="33"/>
  <c r="T119" i="33"/>
  <c r="S119" i="33"/>
  <c r="H119" i="33"/>
  <c r="F119" i="33"/>
  <c r="G119" i="33" s="1"/>
  <c r="D119" i="33"/>
  <c r="AX118" i="33"/>
  <c r="AU118" i="33"/>
  <c r="AR118" i="33"/>
  <c r="AQ118" i="33"/>
  <c r="AN118" i="33"/>
  <c r="AL118" i="33"/>
  <c r="AK118" i="33"/>
  <c r="AJ118" i="33"/>
  <c r="AI118" i="33"/>
  <c r="AH118" i="33"/>
  <c r="AG118" i="33"/>
  <c r="AF118" i="33"/>
  <c r="AE118" i="33"/>
  <c r="AD118" i="33"/>
  <c r="AC118" i="33"/>
  <c r="AB118" i="33"/>
  <c r="AA118" i="33"/>
  <c r="Z118" i="33"/>
  <c r="Y118" i="33"/>
  <c r="X118" i="33"/>
  <c r="W118" i="33"/>
  <c r="V118" i="33"/>
  <c r="U118" i="33"/>
  <c r="T118" i="33"/>
  <c r="S118" i="33"/>
  <c r="H118" i="33"/>
  <c r="F118" i="33"/>
  <c r="G118" i="33" s="1"/>
  <c r="D118" i="33"/>
  <c r="AX117" i="33"/>
  <c r="AU117" i="33"/>
  <c r="AR117" i="33"/>
  <c r="AQ117" i="33"/>
  <c r="AN117" i="33"/>
  <c r="AL117" i="33"/>
  <c r="AK117" i="33"/>
  <c r="AJ117" i="33"/>
  <c r="AI117" i="33"/>
  <c r="AH117" i="33"/>
  <c r="AG117" i="33"/>
  <c r="AF117" i="33"/>
  <c r="AE117" i="33"/>
  <c r="AD117" i="33"/>
  <c r="AC117" i="33"/>
  <c r="AB117" i="33"/>
  <c r="AA117" i="33"/>
  <c r="Z117" i="33"/>
  <c r="Y117" i="33"/>
  <c r="X117" i="33"/>
  <c r="W117" i="33"/>
  <c r="V117" i="33"/>
  <c r="U117" i="33"/>
  <c r="T117" i="33"/>
  <c r="S117" i="33"/>
  <c r="H117" i="33"/>
  <c r="F117" i="33"/>
  <c r="G117" i="33" s="1"/>
  <c r="D117" i="33"/>
  <c r="AX116" i="33"/>
  <c r="AU116" i="33"/>
  <c r="AR116" i="33"/>
  <c r="AQ116" i="33"/>
  <c r="AN116" i="33"/>
  <c r="AL116" i="33"/>
  <c r="AK116" i="33"/>
  <c r="AJ116" i="33"/>
  <c r="AI116" i="33"/>
  <c r="AH116" i="33"/>
  <c r="AG116" i="33"/>
  <c r="AF116" i="33"/>
  <c r="AE116" i="33"/>
  <c r="AD116" i="33"/>
  <c r="AC116" i="33"/>
  <c r="AB116" i="33"/>
  <c r="AA116" i="33"/>
  <c r="Z116" i="33"/>
  <c r="Y116" i="33"/>
  <c r="X116" i="33"/>
  <c r="W116" i="33"/>
  <c r="V116" i="33"/>
  <c r="U116" i="33"/>
  <c r="T116" i="33"/>
  <c r="S116" i="33"/>
  <c r="H116" i="33"/>
  <c r="F116" i="33"/>
  <c r="G116" i="33" s="1"/>
  <c r="D116" i="33"/>
  <c r="AX115" i="33"/>
  <c r="AU115" i="33"/>
  <c r="AR115" i="33"/>
  <c r="AQ115" i="33"/>
  <c r="AN115" i="33"/>
  <c r="AL115" i="33"/>
  <c r="AK115" i="33"/>
  <c r="AJ115" i="33"/>
  <c r="AI115" i="33"/>
  <c r="AH115" i="33"/>
  <c r="AG115" i="33"/>
  <c r="AF115" i="33"/>
  <c r="AE115" i="33"/>
  <c r="AD115" i="33"/>
  <c r="AC115" i="33"/>
  <c r="AB115" i="33"/>
  <c r="AA115" i="33"/>
  <c r="Z115" i="33"/>
  <c r="Y115" i="33"/>
  <c r="X115" i="33"/>
  <c r="W115" i="33"/>
  <c r="V115" i="33"/>
  <c r="U115" i="33"/>
  <c r="T115" i="33"/>
  <c r="S115" i="33"/>
  <c r="H115" i="33"/>
  <c r="F115" i="33"/>
  <c r="G115" i="33" s="1"/>
  <c r="D115" i="33"/>
  <c r="AX114" i="33"/>
  <c r="AU114" i="33"/>
  <c r="AR114" i="33"/>
  <c r="AQ114" i="33"/>
  <c r="AN114" i="33"/>
  <c r="AL114" i="33"/>
  <c r="AK114" i="33"/>
  <c r="AJ114" i="33"/>
  <c r="AI114" i="33"/>
  <c r="AH114" i="33"/>
  <c r="AG114" i="33"/>
  <c r="AF114" i="33"/>
  <c r="AE114" i="33"/>
  <c r="AD114" i="33"/>
  <c r="AC114" i="33"/>
  <c r="AB114" i="33"/>
  <c r="AA114" i="33"/>
  <c r="Z114" i="33"/>
  <c r="Y114" i="33"/>
  <c r="X114" i="33"/>
  <c r="W114" i="33"/>
  <c r="V114" i="33"/>
  <c r="U114" i="33"/>
  <c r="T114" i="33"/>
  <c r="S114" i="33"/>
  <c r="H114" i="33"/>
  <c r="F114" i="33"/>
  <c r="G114" i="33" s="1"/>
  <c r="D114" i="33"/>
  <c r="AX113" i="33"/>
  <c r="AU113" i="33"/>
  <c r="AR113" i="33"/>
  <c r="AQ113" i="33"/>
  <c r="AN113" i="33"/>
  <c r="AL113" i="33"/>
  <c r="AK113" i="33"/>
  <c r="AJ113" i="33"/>
  <c r="AI113" i="33"/>
  <c r="AH113" i="33"/>
  <c r="AG113" i="33"/>
  <c r="AF113" i="33"/>
  <c r="AE113" i="33"/>
  <c r="AD113" i="33"/>
  <c r="AC113" i="33"/>
  <c r="AB113" i="33"/>
  <c r="AA113" i="33"/>
  <c r="Z113" i="33"/>
  <c r="Y113" i="33"/>
  <c r="X113" i="33"/>
  <c r="W113" i="33"/>
  <c r="V113" i="33"/>
  <c r="U113" i="33"/>
  <c r="T113" i="33"/>
  <c r="S113" i="33"/>
  <c r="H113" i="33"/>
  <c r="F113" i="33"/>
  <c r="G113" i="33" s="1"/>
  <c r="D113" i="33"/>
  <c r="AX112" i="33"/>
  <c r="AU112" i="33"/>
  <c r="AR112" i="33"/>
  <c r="AQ112" i="33"/>
  <c r="AN112" i="33"/>
  <c r="AL112" i="33"/>
  <c r="AK112" i="33"/>
  <c r="AJ112" i="33"/>
  <c r="AI112" i="33"/>
  <c r="AH112" i="33"/>
  <c r="AG112" i="33"/>
  <c r="AF112" i="33"/>
  <c r="AE112" i="33"/>
  <c r="AD112" i="33"/>
  <c r="AC112" i="33"/>
  <c r="AB112" i="33"/>
  <c r="AA112" i="33"/>
  <c r="Z112" i="33"/>
  <c r="Y112" i="33"/>
  <c r="X112" i="33"/>
  <c r="W112" i="33"/>
  <c r="V112" i="33"/>
  <c r="U112" i="33"/>
  <c r="T112" i="33"/>
  <c r="S112" i="33"/>
  <c r="H112" i="33"/>
  <c r="F112" i="33"/>
  <c r="G112" i="33" s="1"/>
  <c r="D112" i="33"/>
  <c r="AX111" i="33"/>
  <c r="AU111" i="33"/>
  <c r="AR111" i="33"/>
  <c r="AQ111" i="33"/>
  <c r="AN111" i="33"/>
  <c r="AL111" i="33"/>
  <c r="AK111" i="33"/>
  <c r="AJ111" i="33"/>
  <c r="AI111" i="33"/>
  <c r="AH111" i="33"/>
  <c r="AG111" i="33"/>
  <c r="AF111" i="33"/>
  <c r="AE111" i="33"/>
  <c r="AD111" i="33"/>
  <c r="AC111" i="33"/>
  <c r="AB111" i="33"/>
  <c r="AA111" i="33"/>
  <c r="Z111" i="33"/>
  <c r="Y111" i="33"/>
  <c r="X111" i="33"/>
  <c r="W111" i="33"/>
  <c r="V111" i="33"/>
  <c r="U111" i="33"/>
  <c r="T111" i="33"/>
  <c r="S111" i="33"/>
  <c r="H111" i="33"/>
  <c r="F111" i="33"/>
  <c r="G111" i="33" s="1"/>
  <c r="D111" i="33"/>
  <c r="AX110" i="33"/>
  <c r="AU110" i="33"/>
  <c r="AR110" i="33"/>
  <c r="AQ110" i="33"/>
  <c r="AN110" i="33"/>
  <c r="AL110" i="33"/>
  <c r="AK110" i="33"/>
  <c r="AJ110" i="33"/>
  <c r="AI110" i="33"/>
  <c r="AH110" i="33"/>
  <c r="AG110" i="33"/>
  <c r="AF110" i="33"/>
  <c r="AE110" i="33"/>
  <c r="AD110" i="33"/>
  <c r="AC110" i="33"/>
  <c r="AB110" i="33"/>
  <c r="AA110" i="33"/>
  <c r="Z110" i="33"/>
  <c r="Y110" i="33"/>
  <c r="X110" i="33"/>
  <c r="W110" i="33"/>
  <c r="V110" i="33"/>
  <c r="U110" i="33"/>
  <c r="T110" i="33"/>
  <c r="S110" i="33"/>
  <c r="H110" i="33"/>
  <c r="F110" i="33"/>
  <c r="G110" i="33" s="1"/>
  <c r="D110" i="33"/>
  <c r="AX109" i="33"/>
  <c r="AU109" i="33"/>
  <c r="AR109" i="33"/>
  <c r="AQ109" i="33"/>
  <c r="AN109" i="33"/>
  <c r="AL109" i="33"/>
  <c r="AK109" i="33"/>
  <c r="AJ109" i="33"/>
  <c r="AI109" i="33"/>
  <c r="AH109" i="33"/>
  <c r="AG109" i="33"/>
  <c r="AF109" i="33"/>
  <c r="AE109" i="33"/>
  <c r="AD109" i="33"/>
  <c r="AC109" i="33"/>
  <c r="AB109" i="33"/>
  <c r="AA109" i="33"/>
  <c r="Z109" i="33"/>
  <c r="Y109" i="33"/>
  <c r="X109" i="33"/>
  <c r="W109" i="33"/>
  <c r="V109" i="33"/>
  <c r="U109" i="33"/>
  <c r="T109" i="33"/>
  <c r="S109" i="33"/>
  <c r="H109" i="33"/>
  <c r="F109" i="33"/>
  <c r="G109" i="33" s="1"/>
  <c r="D109" i="33"/>
  <c r="AX108" i="33"/>
  <c r="AU108" i="33"/>
  <c r="AR108" i="33"/>
  <c r="AQ108" i="33"/>
  <c r="AN108" i="33"/>
  <c r="AL108" i="33"/>
  <c r="AK108" i="33"/>
  <c r="AJ108" i="33"/>
  <c r="AI108" i="33"/>
  <c r="AH108" i="33"/>
  <c r="AG108" i="33"/>
  <c r="AF108" i="33"/>
  <c r="AE108" i="33"/>
  <c r="AD108" i="33"/>
  <c r="AC108" i="33"/>
  <c r="AB108" i="33"/>
  <c r="AA108" i="33"/>
  <c r="Z108" i="33"/>
  <c r="Y108" i="33"/>
  <c r="X108" i="33"/>
  <c r="W108" i="33"/>
  <c r="V108" i="33"/>
  <c r="U108" i="33"/>
  <c r="T108" i="33"/>
  <c r="S108" i="33"/>
  <c r="H108" i="33"/>
  <c r="F108" i="33"/>
  <c r="G108" i="33" s="1"/>
  <c r="D108" i="33"/>
  <c r="AX107" i="33"/>
  <c r="AU107" i="33"/>
  <c r="AR107" i="33"/>
  <c r="AQ107" i="33"/>
  <c r="AN107" i="33"/>
  <c r="AL107" i="33"/>
  <c r="AK107" i="33"/>
  <c r="AJ107" i="33"/>
  <c r="AI107" i="33"/>
  <c r="AH107" i="33"/>
  <c r="AG107" i="33"/>
  <c r="AF107" i="33"/>
  <c r="AE107" i="33"/>
  <c r="AD107" i="33"/>
  <c r="AC107" i="33"/>
  <c r="AB107" i="33"/>
  <c r="AA107" i="33"/>
  <c r="Z107" i="33"/>
  <c r="Y107" i="33"/>
  <c r="X107" i="33"/>
  <c r="W107" i="33"/>
  <c r="V107" i="33"/>
  <c r="U107" i="33"/>
  <c r="T107" i="33"/>
  <c r="S107" i="33"/>
  <c r="H107" i="33"/>
  <c r="F107" i="33"/>
  <c r="G107" i="33" s="1"/>
  <c r="D107" i="33"/>
  <c r="AX106" i="33"/>
  <c r="AU106" i="33"/>
  <c r="AR106" i="33"/>
  <c r="AQ106" i="33"/>
  <c r="AN106" i="33"/>
  <c r="AL106" i="33"/>
  <c r="AK106" i="33"/>
  <c r="AJ106" i="33"/>
  <c r="AI106" i="33"/>
  <c r="AH106" i="33"/>
  <c r="AG106" i="33"/>
  <c r="AF106" i="33"/>
  <c r="AE106" i="33"/>
  <c r="AD106" i="33"/>
  <c r="AC106" i="33"/>
  <c r="AB106" i="33"/>
  <c r="AA106" i="33"/>
  <c r="Z106" i="33"/>
  <c r="Y106" i="33"/>
  <c r="X106" i="33"/>
  <c r="W106" i="33"/>
  <c r="V106" i="33"/>
  <c r="U106" i="33"/>
  <c r="T106" i="33"/>
  <c r="S106" i="33"/>
  <c r="H106" i="33"/>
  <c r="F106" i="33"/>
  <c r="G106" i="33" s="1"/>
  <c r="D106" i="33"/>
  <c r="AX105" i="33"/>
  <c r="AU105" i="33"/>
  <c r="AR105" i="33"/>
  <c r="AQ105" i="33"/>
  <c r="AN105" i="33"/>
  <c r="AL105" i="33"/>
  <c r="AK105" i="33"/>
  <c r="AJ105" i="33"/>
  <c r="AI105" i="33"/>
  <c r="AH105" i="33"/>
  <c r="AG105" i="33"/>
  <c r="AF105" i="33"/>
  <c r="AE105" i="33"/>
  <c r="AD105" i="33"/>
  <c r="AC105" i="33"/>
  <c r="AB105" i="33"/>
  <c r="AA105" i="33"/>
  <c r="Z105" i="33"/>
  <c r="Y105" i="33"/>
  <c r="X105" i="33"/>
  <c r="W105" i="33"/>
  <c r="V105" i="33"/>
  <c r="U105" i="33"/>
  <c r="T105" i="33"/>
  <c r="S105" i="33"/>
  <c r="H105" i="33"/>
  <c r="F105" i="33"/>
  <c r="G105" i="33" s="1"/>
  <c r="D105" i="33"/>
  <c r="AX104" i="33"/>
  <c r="AU104" i="33"/>
  <c r="AR104" i="33"/>
  <c r="AQ104" i="33"/>
  <c r="AN104" i="33"/>
  <c r="AL104" i="33"/>
  <c r="AK104" i="33"/>
  <c r="AJ104" i="33"/>
  <c r="AI104" i="33"/>
  <c r="AH104" i="33"/>
  <c r="AG104" i="33"/>
  <c r="AF104" i="33"/>
  <c r="AE104" i="33"/>
  <c r="AD104" i="33"/>
  <c r="AC104" i="33"/>
  <c r="AB104" i="33"/>
  <c r="AA104" i="33"/>
  <c r="Z104" i="33"/>
  <c r="Y104" i="33"/>
  <c r="X104" i="33"/>
  <c r="W104" i="33"/>
  <c r="V104" i="33"/>
  <c r="U104" i="33"/>
  <c r="T104" i="33"/>
  <c r="S104" i="33"/>
  <c r="H104" i="33"/>
  <c r="F104" i="33"/>
  <c r="G104" i="33" s="1"/>
  <c r="D104" i="33"/>
  <c r="AX103" i="33"/>
  <c r="AU103" i="33"/>
  <c r="AR103" i="33"/>
  <c r="AQ103" i="33"/>
  <c r="AN103" i="33"/>
  <c r="AL103" i="33"/>
  <c r="AK103" i="33"/>
  <c r="AJ103" i="33"/>
  <c r="AI103" i="33"/>
  <c r="AH103" i="33"/>
  <c r="AG103" i="33"/>
  <c r="AF103" i="33"/>
  <c r="AE103" i="33"/>
  <c r="AD103" i="33"/>
  <c r="AC103" i="33"/>
  <c r="AB103" i="33"/>
  <c r="AA103" i="33"/>
  <c r="Z103" i="33"/>
  <c r="Y103" i="33"/>
  <c r="X103" i="33"/>
  <c r="W103" i="33"/>
  <c r="V103" i="33"/>
  <c r="U103" i="33"/>
  <c r="T103" i="33"/>
  <c r="S103" i="33"/>
  <c r="H103" i="33"/>
  <c r="F103" i="33"/>
  <c r="G103" i="33" s="1"/>
  <c r="D103" i="33"/>
  <c r="AX102" i="33"/>
  <c r="AU102" i="33"/>
  <c r="AR102" i="33"/>
  <c r="AQ102" i="33"/>
  <c r="AN102" i="33"/>
  <c r="AL102" i="33"/>
  <c r="AK102" i="33"/>
  <c r="AJ102" i="33"/>
  <c r="AI102" i="33"/>
  <c r="AH102" i="33"/>
  <c r="AG102" i="33"/>
  <c r="AF102" i="33"/>
  <c r="AE102" i="33"/>
  <c r="AD102" i="33"/>
  <c r="AC102" i="33"/>
  <c r="AB102" i="33"/>
  <c r="AA102" i="33"/>
  <c r="Z102" i="33"/>
  <c r="Y102" i="33"/>
  <c r="X102" i="33"/>
  <c r="W102" i="33"/>
  <c r="V102" i="33"/>
  <c r="U102" i="33"/>
  <c r="T102" i="33"/>
  <c r="S102" i="33"/>
  <c r="H102" i="33"/>
  <c r="F102" i="33"/>
  <c r="G102" i="33" s="1"/>
  <c r="D102" i="33"/>
  <c r="AX101" i="33"/>
  <c r="AU101" i="33"/>
  <c r="AR101" i="33"/>
  <c r="AQ101" i="33"/>
  <c r="AN101" i="33"/>
  <c r="AL101" i="33"/>
  <c r="AK101" i="33"/>
  <c r="AJ101" i="33"/>
  <c r="AI101" i="33"/>
  <c r="AH101" i="33"/>
  <c r="AG101" i="33"/>
  <c r="AF101" i="33"/>
  <c r="AE101" i="33"/>
  <c r="AD101" i="33"/>
  <c r="AC101" i="33"/>
  <c r="AB101" i="33"/>
  <c r="AA101" i="33"/>
  <c r="Z101" i="33"/>
  <c r="Y101" i="33"/>
  <c r="X101" i="33"/>
  <c r="W101" i="33"/>
  <c r="V101" i="33"/>
  <c r="U101" i="33"/>
  <c r="T101" i="33"/>
  <c r="S101" i="33"/>
  <c r="H101" i="33"/>
  <c r="F101" i="33"/>
  <c r="G101" i="33" s="1"/>
  <c r="D101" i="33"/>
  <c r="AX100" i="33"/>
  <c r="AU100" i="33"/>
  <c r="AR100" i="33"/>
  <c r="AQ100" i="33"/>
  <c r="AN100" i="33"/>
  <c r="AL100" i="33"/>
  <c r="AK100" i="33"/>
  <c r="AJ100" i="33"/>
  <c r="AI100" i="33"/>
  <c r="AH100" i="33"/>
  <c r="AG100" i="33"/>
  <c r="AF100" i="33"/>
  <c r="AE100" i="33"/>
  <c r="AD100" i="33"/>
  <c r="AC100" i="33"/>
  <c r="AB100" i="33"/>
  <c r="AA100" i="33"/>
  <c r="Z100" i="33"/>
  <c r="Y100" i="33"/>
  <c r="X100" i="33"/>
  <c r="W100" i="33"/>
  <c r="V100" i="33"/>
  <c r="U100" i="33"/>
  <c r="T100" i="33"/>
  <c r="S100" i="33"/>
  <c r="H100" i="33"/>
  <c r="F100" i="33"/>
  <c r="G100" i="33" s="1"/>
  <c r="D100" i="33"/>
  <c r="AX99" i="33"/>
  <c r="AU99" i="33"/>
  <c r="AR99" i="33"/>
  <c r="AQ99" i="33"/>
  <c r="AN99" i="33"/>
  <c r="AL99" i="33"/>
  <c r="AK99" i="33"/>
  <c r="AJ99" i="33"/>
  <c r="AI99" i="33"/>
  <c r="AH99" i="33"/>
  <c r="AG99" i="33"/>
  <c r="AF99" i="33"/>
  <c r="AE99" i="33"/>
  <c r="AD99" i="33"/>
  <c r="AC99" i="33"/>
  <c r="AB99" i="33"/>
  <c r="AA99" i="33"/>
  <c r="Z99" i="33"/>
  <c r="Y99" i="33"/>
  <c r="X99" i="33"/>
  <c r="W99" i="33"/>
  <c r="V99" i="33"/>
  <c r="U99" i="33"/>
  <c r="T99" i="33"/>
  <c r="S99" i="33"/>
  <c r="H99" i="33"/>
  <c r="F99" i="33"/>
  <c r="G99" i="33" s="1"/>
  <c r="D99" i="33"/>
  <c r="AX98" i="33"/>
  <c r="AU98" i="33"/>
  <c r="AR98" i="33"/>
  <c r="AQ98" i="33"/>
  <c r="AN98" i="33"/>
  <c r="AL98" i="33"/>
  <c r="AK98" i="33"/>
  <c r="AJ98" i="33"/>
  <c r="AI98" i="33"/>
  <c r="AH98" i="33"/>
  <c r="AG98" i="33"/>
  <c r="AF98" i="33"/>
  <c r="AE98" i="33"/>
  <c r="AD98" i="33"/>
  <c r="AC98" i="33"/>
  <c r="AB98" i="33"/>
  <c r="AA98" i="33"/>
  <c r="Z98" i="33"/>
  <c r="Y98" i="33"/>
  <c r="X98" i="33"/>
  <c r="W98" i="33"/>
  <c r="V98" i="33"/>
  <c r="U98" i="33"/>
  <c r="T98" i="33"/>
  <c r="S98" i="33"/>
  <c r="H98" i="33"/>
  <c r="F98" i="33"/>
  <c r="G98" i="33" s="1"/>
  <c r="D98" i="33"/>
  <c r="AX97" i="33"/>
  <c r="AU97" i="33"/>
  <c r="AR97" i="33"/>
  <c r="AQ97" i="33"/>
  <c r="AN97" i="33"/>
  <c r="AL97" i="33"/>
  <c r="AK97" i="33"/>
  <c r="AJ97" i="33"/>
  <c r="AI97" i="33"/>
  <c r="AH97" i="33"/>
  <c r="AG97" i="33"/>
  <c r="AF97" i="33"/>
  <c r="AE97" i="33"/>
  <c r="AD97" i="33"/>
  <c r="AC97" i="33"/>
  <c r="AB97" i="33"/>
  <c r="AA97" i="33"/>
  <c r="Z97" i="33"/>
  <c r="Y97" i="33"/>
  <c r="X97" i="33"/>
  <c r="W97" i="33"/>
  <c r="V97" i="33"/>
  <c r="U97" i="33"/>
  <c r="T97" i="33"/>
  <c r="S97" i="33"/>
  <c r="H97" i="33"/>
  <c r="F97" i="33"/>
  <c r="G97" i="33" s="1"/>
  <c r="D97" i="33"/>
  <c r="AX96" i="33"/>
  <c r="AU96" i="33"/>
  <c r="AR96" i="33"/>
  <c r="AQ96" i="33"/>
  <c r="AN96" i="33"/>
  <c r="AL96" i="33"/>
  <c r="AK96" i="33"/>
  <c r="AJ96" i="33"/>
  <c r="AI96" i="33"/>
  <c r="AH96" i="33"/>
  <c r="AG96" i="33"/>
  <c r="AF96" i="33"/>
  <c r="AE96" i="33"/>
  <c r="AD96" i="33"/>
  <c r="AC96" i="33"/>
  <c r="AB96" i="33"/>
  <c r="AA96" i="33"/>
  <c r="Z96" i="33"/>
  <c r="Y96" i="33"/>
  <c r="X96" i="33"/>
  <c r="W96" i="33"/>
  <c r="V96" i="33"/>
  <c r="U96" i="33"/>
  <c r="T96" i="33"/>
  <c r="S96" i="33"/>
  <c r="H96" i="33"/>
  <c r="F96" i="33"/>
  <c r="G96" i="33" s="1"/>
  <c r="D96" i="33"/>
  <c r="AX95" i="33"/>
  <c r="AU95" i="33"/>
  <c r="AR95" i="33"/>
  <c r="AQ95" i="33"/>
  <c r="AN95" i="33"/>
  <c r="AL95" i="33"/>
  <c r="AK95" i="33"/>
  <c r="AJ95" i="33"/>
  <c r="AI95" i="33"/>
  <c r="AH95" i="33"/>
  <c r="AG95" i="33"/>
  <c r="AF95" i="33"/>
  <c r="AE95" i="33"/>
  <c r="AD95" i="33"/>
  <c r="AC95" i="33"/>
  <c r="AB95" i="33"/>
  <c r="AA95" i="33"/>
  <c r="Z95" i="33"/>
  <c r="Y95" i="33"/>
  <c r="X95" i="33"/>
  <c r="W95" i="33"/>
  <c r="V95" i="33"/>
  <c r="U95" i="33"/>
  <c r="T95" i="33"/>
  <c r="S95" i="33"/>
  <c r="H95" i="33"/>
  <c r="F95" i="33"/>
  <c r="G95" i="33" s="1"/>
  <c r="D95" i="33"/>
  <c r="AX94" i="33"/>
  <c r="AU94" i="33"/>
  <c r="AR94" i="33"/>
  <c r="AQ94" i="33"/>
  <c r="AN94" i="33"/>
  <c r="AL94" i="33"/>
  <c r="AK94" i="33"/>
  <c r="AJ94" i="33"/>
  <c r="AI94" i="33"/>
  <c r="AH94" i="33"/>
  <c r="AG94" i="33"/>
  <c r="AF94" i="33"/>
  <c r="AE94" i="33"/>
  <c r="AD94" i="33"/>
  <c r="AC94" i="33"/>
  <c r="AB94" i="33"/>
  <c r="AA94" i="33"/>
  <c r="Z94" i="33"/>
  <c r="Y94" i="33"/>
  <c r="X94" i="33"/>
  <c r="W94" i="33"/>
  <c r="V94" i="33"/>
  <c r="U94" i="33"/>
  <c r="T94" i="33"/>
  <c r="S94" i="33"/>
  <c r="H94" i="33"/>
  <c r="F94" i="33"/>
  <c r="G94" i="33" s="1"/>
  <c r="D94" i="33"/>
  <c r="AX93" i="33"/>
  <c r="AU93" i="33"/>
  <c r="AR93" i="33"/>
  <c r="AQ93" i="33"/>
  <c r="AN93" i="33"/>
  <c r="AL93" i="33"/>
  <c r="AK93" i="33"/>
  <c r="AJ93" i="33"/>
  <c r="AI93" i="33"/>
  <c r="AH93" i="33"/>
  <c r="AG93" i="33"/>
  <c r="AF93" i="33"/>
  <c r="AE93" i="33"/>
  <c r="AD93" i="33"/>
  <c r="AC93" i="33"/>
  <c r="AB93" i="33"/>
  <c r="AA93" i="33"/>
  <c r="Z93" i="33"/>
  <c r="Y93" i="33"/>
  <c r="X93" i="33"/>
  <c r="W93" i="33"/>
  <c r="V93" i="33"/>
  <c r="U93" i="33"/>
  <c r="T93" i="33"/>
  <c r="S93" i="33"/>
  <c r="H93" i="33"/>
  <c r="F93" i="33"/>
  <c r="G93" i="33" s="1"/>
  <c r="D93" i="33"/>
  <c r="AX92" i="33"/>
  <c r="AU92" i="33"/>
  <c r="AR92" i="33"/>
  <c r="AQ92" i="33"/>
  <c r="AN92" i="33"/>
  <c r="AL92" i="33"/>
  <c r="AK92" i="33"/>
  <c r="AJ92" i="33"/>
  <c r="AI92" i="33"/>
  <c r="AH92" i="33"/>
  <c r="AG92" i="33"/>
  <c r="AF92" i="33"/>
  <c r="AE92" i="33"/>
  <c r="AD92" i="33"/>
  <c r="AC92" i="33"/>
  <c r="AB92" i="33"/>
  <c r="AA92" i="33"/>
  <c r="Z92" i="33"/>
  <c r="Y92" i="33"/>
  <c r="X92" i="33"/>
  <c r="W92" i="33"/>
  <c r="V92" i="33"/>
  <c r="U92" i="33"/>
  <c r="T92" i="33"/>
  <c r="S92" i="33"/>
  <c r="H92" i="33"/>
  <c r="F92" i="33"/>
  <c r="G92" i="33" s="1"/>
  <c r="D92" i="33"/>
  <c r="AX91" i="33"/>
  <c r="AU91" i="33"/>
  <c r="AR91" i="33"/>
  <c r="AQ91" i="33"/>
  <c r="AN91" i="33"/>
  <c r="AL91" i="33"/>
  <c r="AK91" i="33"/>
  <c r="AJ91" i="33"/>
  <c r="AI91" i="33"/>
  <c r="AH91" i="33"/>
  <c r="AG91" i="33"/>
  <c r="AF91" i="33"/>
  <c r="AE91" i="33"/>
  <c r="AD91" i="33"/>
  <c r="AC91" i="33"/>
  <c r="AB91" i="33"/>
  <c r="AA91" i="33"/>
  <c r="Z91" i="33"/>
  <c r="Y91" i="33"/>
  <c r="X91" i="33"/>
  <c r="W91" i="33"/>
  <c r="V91" i="33"/>
  <c r="U91" i="33"/>
  <c r="T91" i="33"/>
  <c r="S91" i="33"/>
  <c r="H91" i="33"/>
  <c r="F91" i="33"/>
  <c r="G91" i="33" s="1"/>
  <c r="D91" i="33"/>
  <c r="AX90" i="33"/>
  <c r="AU90" i="33"/>
  <c r="AR90" i="33"/>
  <c r="AQ90" i="33"/>
  <c r="AN90" i="33"/>
  <c r="AL90" i="33"/>
  <c r="AK90" i="33"/>
  <c r="AJ90" i="33"/>
  <c r="AI90" i="33"/>
  <c r="AH90" i="33"/>
  <c r="AG90" i="33"/>
  <c r="AF90" i="33"/>
  <c r="AE90" i="33"/>
  <c r="AD90" i="33"/>
  <c r="AC90" i="33"/>
  <c r="AB90" i="33"/>
  <c r="AA90" i="33"/>
  <c r="Z90" i="33"/>
  <c r="Y90" i="33"/>
  <c r="X90" i="33"/>
  <c r="W90" i="33"/>
  <c r="V90" i="33"/>
  <c r="U90" i="33"/>
  <c r="T90" i="33"/>
  <c r="S90" i="33"/>
  <c r="H90" i="33"/>
  <c r="F90" i="33"/>
  <c r="G90" i="33" s="1"/>
  <c r="D90" i="33"/>
  <c r="AX89" i="33"/>
  <c r="AU89" i="33"/>
  <c r="AR89" i="33"/>
  <c r="AQ89" i="33"/>
  <c r="AN89" i="33"/>
  <c r="AL89" i="33"/>
  <c r="AK89" i="33"/>
  <c r="AJ89" i="33"/>
  <c r="AI89" i="33"/>
  <c r="AH89" i="33"/>
  <c r="AG89" i="33"/>
  <c r="AF89" i="33"/>
  <c r="AE89" i="33"/>
  <c r="AD89" i="33"/>
  <c r="AC89" i="33"/>
  <c r="AB89" i="33"/>
  <c r="AA89" i="33"/>
  <c r="Z89" i="33"/>
  <c r="Y89" i="33"/>
  <c r="X89" i="33"/>
  <c r="W89" i="33"/>
  <c r="V89" i="33"/>
  <c r="U89" i="33"/>
  <c r="T89" i="33"/>
  <c r="S89" i="33"/>
  <c r="H89" i="33"/>
  <c r="F89" i="33"/>
  <c r="G89" i="33" s="1"/>
  <c r="D89" i="33"/>
  <c r="AX88" i="33"/>
  <c r="AU88" i="33"/>
  <c r="AR88" i="33"/>
  <c r="AQ88" i="33"/>
  <c r="AN88" i="33"/>
  <c r="AL88" i="33"/>
  <c r="AK88" i="33"/>
  <c r="AJ88" i="33"/>
  <c r="AI88" i="33"/>
  <c r="AH88" i="33"/>
  <c r="AG88" i="33"/>
  <c r="AF88" i="33"/>
  <c r="AE88" i="33"/>
  <c r="AD88" i="33"/>
  <c r="AC88" i="33"/>
  <c r="AB88" i="33"/>
  <c r="AA88" i="33"/>
  <c r="Z88" i="33"/>
  <c r="Y88" i="33"/>
  <c r="X88" i="33"/>
  <c r="W88" i="33"/>
  <c r="V88" i="33"/>
  <c r="U88" i="33"/>
  <c r="T88" i="33"/>
  <c r="S88" i="33"/>
  <c r="H88" i="33"/>
  <c r="F88" i="33"/>
  <c r="G88" i="33" s="1"/>
  <c r="D88" i="33"/>
  <c r="AX87" i="33"/>
  <c r="AU87" i="33"/>
  <c r="AR87" i="33"/>
  <c r="AQ87" i="33"/>
  <c r="AN87" i="33"/>
  <c r="AL87" i="33"/>
  <c r="AK87" i="33"/>
  <c r="AJ87" i="33"/>
  <c r="AI87" i="33"/>
  <c r="AH87" i="33"/>
  <c r="AG87" i="33"/>
  <c r="AF87" i="33"/>
  <c r="AE87" i="33"/>
  <c r="AD87" i="33"/>
  <c r="AC87" i="33"/>
  <c r="AB87" i="33"/>
  <c r="AA87" i="33"/>
  <c r="Z87" i="33"/>
  <c r="Y87" i="33"/>
  <c r="X87" i="33"/>
  <c r="W87" i="33"/>
  <c r="V87" i="33"/>
  <c r="U87" i="33"/>
  <c r="T87" i="33"/>
  <c r="S87" i="33"/>
  <c r="H87" i="33"/>
  <c r="F87" i="33"/>
  <c r="G87" i="33" s="1"/>
  <c r="D87" i="33"/>
  <c r="AX86" i="33"/>
  <c r="AU86" i="33"/>
  <c r="AR86" i="33"/>
  <c r="AQ86" i="33"/>
  <c r="AN86" i="33"/>
  <c r="AL86" i="33"/>
  <c r="AK86" i="33"/>
  <c r="AJ86" i="33"/>
  <c r="AI86" i="33"/>
  <c r="AH86" i="33"/>
  <c r="AG86" i="33"/>
  <c r="AF86" i="33"/>
  <c r="AE86" i="33"/>
  <c r="AD86" i="33"/>
  <c r="AC86" i="33"/>
  <c r="AB86" i="33"/>
  <c r="AA86" i="33"/>
  <c r="Z86" i="33"/>
  <c r="Y86" i="33"/>
  <c r="X86" i="33"/>
  <c r="W86" i="33"/>
  <c r="V86" i="33"/>
  <c r="U86" i="33"/>
  <c r="T86" i="33"/>
  <c r="S86" i="33"/>
  <c r="H86" i="33"/>
  <c r="F86" i="33"/>
  <c r="G86" i="33" s="1"/>
  <c r="D86" i="33"/>
  <c r="AX85" i="33"/>
  <c r="AU85" i="33"/>
  <c r="AR85" i="33"/>
  <c r="AQ85" i="33"/>
  <c r="AN85" i="33"/>
  <c r="AL85" i="33"/>
  <c r="AK85" i="33"/>
  <c r="AJ85" i="33"/>
  <c r="AI85" i="33"/>
  <c r="AH85" i="33"/>
  <c r="AG85" i="33"/>
  <c r="AF85" i="33"/>
  <c r="AE85" i="33"/>
  <c r="AD85" i="33"/>
  <c r="AC85" i="33"/>
  <c r="AB85" i="33"/>
  <c r="AA85" i="33"/>
  <c r="Z85" i="33"/>
  <c r="Y85" i="33"/>
  <c r="X85" i="33"/>
  <c r="W85" i="33"/>
  <c r="V85" i="33"/>
  <c r="U85" i="33"/>
  <c r="T85" i="33"/>
  <c r="S85" i="33"/>
  <c r="H85" i="33"/>
  <c r="F85" i="33"/>
  <c r="G85" i="33" s="1"/>
  <c r="D85" i="33"/>
  <c r="AX84" i="33"/>
  <c r="AU84" i="33"/>
  <c r="AR84" i="33"/>
  <c r="AQ84" i="33"/>
  <c r="AN84" i="33"/>
  <c r="AL84" i="33"/>
  <c r="AK84" i="33"/>
  <c r="AJ84" i="33"/>
  <c r="AI84" i="33"/>
  <c r="AH84" i="33"/>
  <c r="AG84" i="33"/>
  <c r="AF84" i="33"/>
  <c r="AE84" i="33"/>
  <c r="AD84" i="33"/>
  <c r="AC84" i="33"/>
  <c r="AB84" i="33"/>
  <c r="AA84" i="33"/>
  <c r="Z84" i="33"/>
  <c r="Y84" i="33"/>
  <c r="X84" i="33"/>
  <c r="W84" i="33"/>
  <c r="V84" i="33"/>
  <c r="U84" i="33"/>
  <c r="T84" i="33"/>
  <c r="S84" i="33"/>
  <c r="H84" i="33"/>
  <c r="F84" i="33"/>
  <c r="G84" i="33" s="1"/>
  <c r="D84" i="33"/>
  <c r="AX83" i="33"/>
  <c r="AU83" i="33"/>
  <c r="AR83" i="33"/>
  <c r="AQ83" i="33"/>
  <c r="AN83" i="33"/>
  <c r="AL83" i="33"/>
  <c r="AK83" i="33"/>
  <c r="AJ83" i="33"/>
  <c r="AI83" i="33"/>
  <c r="AH83" i="33"/>
  <c r="AG83" i="33"/>
  <c r="AF83" i="33"/>
  <c r="AE83" i="33"/>
  <c r="AD83" i="33"/>
  <c r="AC83" i="33"/>
  <c r="AB83" i="33"/>
  <c r="AA83" i="33"/>
  <c r="Z83" i="33"/>
  <c r="Y83" i="33"/>
  <c r="X83" i="33"/>
  <c r="W83" i="33"/>
  <c r="V83" i="33"/>
  <c r="U83" i="33"/>
  <c r="T83" i="33"/>
  <c r="S83" i="33"/>
  <c r="H83" i="33"/>
  <c r="F83" i="33"/>
  <c r="G83" i="33" s="1"/>
  <c r="D83" i="33"/>
  <c r="AX82" i="33"/>
  <c r="AU82" i="33"/>
  <c r="AR82" i="33"/>
  <c r="AQ82" i="33"/>
  <c r="AN82" i="33"/>
  <c r="AL82" i="33"/>
  <c r="AK82" i="33"/>
  <c r="AJ82" i="33"/>
  <c r="AI82" i="33"/>
  <c r="AH82" i="33"/>
  <c r="AG82" i="33"/>
  <c r="AF82" i="33"/>
  <c r="AE82" i="33"/>
  <c r="AD82" i="33"/>
  <c r="AC82" i="33"/>
  <c r="AB82" i="33"/>
  <c r="AA82" i="33"/>
  <c r="Z82" i="33"/>
  <c r="Y82" i="33"/>
  <c r="X82" i="33"/>
  <c r="W82" i="33"/>
  <c r="V82" i="33"/>
  <c r="U82" i="33"/>
  <c r="T82" i="33"/>
  <c r="S82" i="33"/>
  <c r="H82" i="33"/>
  <c r="F82" i="33"/>
  <c r="G82" i="33" s="1"/>
  <c r="D82" i="33"/>
  <c r="AX81" i="33"/>
  <c r="AU81" i="33"/>
  <c r="AR81" i="33"/>
  <c r="AQ81" i="33"/>
  <c r="AN81" i="33"/>
  <c r="AL81" i="33"/>
  <c r="AK81" i="33"/>
  <c r="AJ81" i="33"/>
  <c r="AI81" i="33"/>
  <c r="AH81" i="33"/>
  <c r="AG81" i="33"/>
  <c r="AF81" i="33"/>
  <c r="AE81" i="33"/>
  <c r="AD81" i="33"/>
  <c r="AC81" i="33"/>
  <c r="AB81" i="33"/>
  <c r="AA81" i="33"/>
  <c r="Z81" i="33"/>
  <c r="Y81" i="33"/>
  <c r="X81" i="33"/>
  <c r="W81" i="33"/>
  <c r="V81" i="33"/>
  <c r="U81" i="33"/>
  <c r="T81" i="33"/>
  <c r="S81" i="33"/>
  <c r="H81" i="33"/>
  <c r="F81" i="33"/>
  <c r="G81" i="33" s="1"/>
  <c r="D81" i="33"/>
  <c r="AX80" i="33"/>
  <c r="AU80" i="33"/>
  <c r="AR80" i="33"/>
  <c r="AQ80" i="33"/>
  <c r="AN80" i="33"/>
  <c r="AL80" i="33"/>
  <c r="AK80" i="33"/>
  <c r="AJ80" i="33"/>
  <c r="AI80" i="33"/>
  <c r="AH80" i="33"/>
  <c r="AG80" i="33"/>
  <c r="AF80" i="33"/>
  <c r="AE80" i="33"/>
  <c r="AD80" i="33"/>
  <c r="AC80" i="33"/>
  <c r="AB80" i="33"/>
  <c r="AA80" i="33"/>
  <c r="Z80" i="33"/>
  <c r="Y80" i="33"/>
  <c r="X80" i="33"/>
  <c r="W80" i="33"/>
  <c r="V80" i="33"/>
  <c r="U80" i="33"/>
  <c r="T80" i="33"/>
  <c r="S80" i="33"/>
  <c r="H80" i="33"/>
  <c r="F80" i="33"/>
  <c r="G80" i="33" s="1"/>
  <c r="D80" i="33"/>
  <c r="AX79" i="33"/>
  <c r="AU79" i="33"/>
  <c r="AR79" i="33"/>
  <c r="AQ79" i="33"/>
  <c r="AN79" i="33"/>
  <c r="AL79" i="33"/>
  <c r="AK79" i="33"/>
  <c r="AJ79" i="33"/>
  <c r="AI79" i="33"/>
  <c r="AH79" i="33"/>
  <c r="AG79" i="33"/>
  <c r="AF79" i="33"/>
  <c r="AE79" i="33"/>
  <c r="AD79" i="33"/>
  <c r="AC79" i="33"/>
  <c r="AB79" i="33"/>
  <c r="AA79" i="33"/>
  <c r="Z79" i="33"/>
  <c r="Y79" i="33"/>
  <c r="X79" i="33"/>
  <c r="W79" i="33"/>
  <c r="V79" i="33"/>
  <c r="U79" i="33"/>
  <c r="T79" i="33"/>
  <c r="S79" i="33"/>
  <c r="H79" i="33"/>
  <c r="F79" i="33"/>
  <c r="G79" i="33" s="1"/>
  <c r="D79" i="33"/>
  <c r="AX78" i="33"/>
  <c r="AU78" i="33"/>
  <c r="AR78" i="33"/>
  <c r="AQ78" i="33"/>
  <c r="AN78" i="33"/>
  <c r="AL78" i="33"/>
  <c r="AK78" i="33"/>
  <c r="AJ78" i="33"/>
  <c r="AI78" i="33"/>
  <c r="AH78" i="33"/>
  <c r="AG78" i="33"/>
  <c r="AF78" i="33"/>
  <c r="AE78" i="33"/>
  <c r="AD78" i="33"/>
  <c r="AC78" i="33"/>
  <c r="AB78" i="33"/>
  <c r="AA78" i="33"/>
  <c r="Z78" i="33"/>
  <c r="Y78" i="33"/>
  <c r="X78" i="33"/>
  <c r="W78" i="33"/>
  <c r="V78" i="33"/>
  <c r="U78" i="33"/>
  <c r="T78" i="33"/>
  <c r="S78" i="33"/>
  <c r="H78" i="33"/>
  <c r="F78" i="33"/>
  <c r="G78" i="33" s="1"/>
  <c r="D78" i="33"/>
  <c r="AX77" i="33"/>
  <c r="AU77" i="33"/>
  <c r="AR77" i="33"/>
  <c r="AQ77" i="33"/>
  <c r="AN77" i="33"/>
  <c r="AL77" i="33"/>
  <c r="AK77" i="33"/>
  <c r="AJ77" i="33"/>
  <c r="AI77" i="33"/>
  <c r="AH77" i="33"/>
  <c r="AG77" i="33"/>
  <c r="AF77" i="33"/>
  <c r="AE77" i="33"/>
  <c r="AD77" i="33"/>
  <c r="AC77" i="33"/>
  <c r="AB77" i="33"/>
  <c r="AA77" i="33"/>
  <c r="Z77" i="33"/>
  <c r="Y77" i="33"/>
  <c r="X77" i="33"/>
  <c r="W77" i="33"/>
  <c r="V77" i="33"/>
  <c r="U77" i="33"/>
  <c r="T77" i="33"/>
  <c r="S77" i="33"/>
  <c r="H77" i="33"/>
  <c r="F77" i="33"/>
  <c r="G77" i="33" s="1"/>
  <c r="D77" i="33"/>
  <c r="AX76" i="33"/>
  <c r="AU76" i="33"/>
  <c r="AR76" i="33"/>
  <c r="AQ76" i="33"/>
  <c r="AN76" i="33"/>
  <c r="AL76" i="33"/>
  <c r="AK76" i="33"/>
  <c r="AJ76" i="33"/>
  <c r="AI76" i="33"/>
  <c r="AH76" i="33"/>
  <c r="AG76" i="33"/>
  <c r="AF76" i="33"/>
  <c r="AE76" i="33"/>
  <c r="AD76" i="33"/>
  <c r="AC76" i="33"/>
  <c r="AB76" i="33"/>
  <c r="AA76" i="33"/>
  <c r="Z76" i="33"/>
  <c r="Y76" i="33"/>
  <c r="X76" i="33"/>
  <c r="W76" i="33"/>
  <c r="V76" i="33"/>
  <c r="U76" i="33"/>
  <c r="T76" i="33"/>
  <c r="S76" i="33"/>
  <c r="H76" i="33"/>
  <c r="F76" i="33"/>
  <c r="G76" i="33" s="1"/>
  <c r="D76" i="33"/>
  <c r="AX75" i="33"/>
  <c r="AU75" i="33"/>
  <c r="AR75" i="33"/>
  <c r="AQ75" i="33"/>
  <c r="AN75" i="33"/>
  <c r="AL75" i="33"/>
  <c r="AK75" i="33"/>
  <c r="AJ75" i="33"/>
  <c r="AI75" i="33"/>
  <c r="AH75" i="33"/>
  <c r="AG75" i="33"/>
  <c r="AF75" i="33"/>
  <c r="AE75" i="33"/>
  <c r="AD75" i="33"/>
  <c r="AC75" i="33"/>
  <c r="AB75" i="33"/>
  <c r="AA75" i="33"/>
  <c r="Z75" i="33"/>
  <c r="Y75" i="33"/>
  <c r="X75" i="33"/>
  <c r="W75" i="33"/>
  <c r="V75" i="33"/>
  <c r="U75" i="33"/>
  <c r="T75" i="33"/>
  <c r="S75" i="33"/>
  <c r="H75" i="33"/>
  <c r="F75" i="33"/>
  <c r="G75" i="33" s="1"/>
  <c r="D75" i="33"/>
  <c r="AX74" i="33"/>
  <c r="AU74" i="33"/>
  <c r="AR74" i="33"/>
  <c r="AQ74" i="33"/>
  <c r="AN74" i="33"/>
  <c r="AL74" i="33"/>
  <c r="AK74" i="33"/>
  <c r="AJ74" i="33"/>
  <c r="AI74" i="33"/>
  <c r="AH74" i="33"/>
  <c r="AG74" i="33"/>
  <c r="AF74" i="33"/>
  <c r="AE74" i="33"/>
  <c r="AD74" i="33"/>
  <c r="AC74" i="33"/>
  <c r="AB74" i="33"/>
  <c r="AA74" i="33"/>
  <c r="Z74" i="33"/>
  <c r="Y74" i="33"/>
  <c r="X74" i="33"/>
  <c r="W74" i="33"/>
  <c r="V74" i="33"/>
  <c r="U74" i="33"/>
  <c r="T74" i="33"/>
  <c r="S74" i="33"/>
  <c r="H74" i="33"/>
  <c r="F74" i="33"/>
  <c r="G74" i="33" s="1"/>
  <c r="D74" i="33"/>
  <c r="AX73" i="33"/>
  <c r="AU73" i="33"/>
  <c r="AR73" i="33"/>
  <c r="AQ73" i="33"/>
  <c r="AN73" i="33"/>
  <c r="AL73" i="33"/>
  <c r="AK73" i="33"/>
  <c r="AJ73" i="33"/>
  <c r="AI73" i="33"/>
  <c r="AH73" i="33"/>
  <c r="AG73" i="33"/>
  <c r="AF73" i="33"/>
  <c r="AE73" i="33"/>
  <c r="AD73" i="33"/>
  <c r="AC73" i="33"/>
  <c r="AB73" i="33"/>
  <c r="AA73" i="33"/>
  <c r="Z73" i="33"/>
  <c r="Y73" i="33"/>
  <c r="X73" i="33"/>
  <c r="W73" i="33"/>
  <c r="V73" i="33"/>
  <c r="U73" i="33"/>
  <c r="T73" i="33"/>
  <c r="S73" i="33"/>
  <c r="H73" i="33"/>
  <c r="F73" i="33"/>
  <c r="G73" i="33" s="1"/>
  <c r="D73" i="33"/>
  <c r="AX72" i="33"/>
  <c r="AU72" i="33"/>
  <c r="AR72" i="33"/>
  <c r="AQ72" i="33"/>
  <c r="AN72" i="33"/>
  <c r="AL72" i="33"/>
  <c r="AK72" i="33"/>
  <c r="AJ72" i="33"/>
  <c r="AI72" i="33"/>
  <c r="AH72" i="33"/>
  <c r="AG72" i="33"/>
  <c r="AF72" i="33"/>
  <c r="AE72" i="33"/>
  <c r="AD72" i="33"/>
  <c r="AC72" i="33"/>
  <c r="AB72" i="33"/>
  <c r="AA72" i="33"/>
  <c r="Z72" i="33"/>
  <c r="Y72" i="33"/>
  <c r="X72" i="33"/>
  <c r="W72" i="33"/>
  <c r="V72" i="33"/>
  <c r="U72" i="33"/>
  <c r="T72" i="33"/>
  <c r="S72" i="33"/>
  <c r="H72" i="33"/>
  <c r="F72" i="33"/>
  <c r="G72" i="33" s="1"/>
  <c r="D72" i="33"/>
  <c r="AX71" i="33"/>
  <c r="AU71" i="33"/>
  <c r="AR71" i="33"/>
  <c r="AQ71" i="33"/>
  <c r="AN71" i="33"/>
  <c r="AL71" i="33"/>
  <c r="AK71" i="33"/>
  <c r="AJ71" i="33"/>
  <c r="AI71" i="33"/>
  <c r="AH71" i="33"/>
  <c r="AG71" i="33"/>
  <c r="AF71" i="33"/>
  <c r="AE71" i="33"/>
  <c r="AD71" i="33"/>
  <c r="AC71" i="33"/>
  <c r="AB71" i="33"/>
  <c r="AA71" i="33"/>
  <c r="Z71" i="33"/>
  <c r="Y71" i="33"/>
  <c r="X71" i="33"/>
  <c r="W71" i="33"/>
  <c r="V71" i="33"/>
  <c r="U71" i="33"/>
  <c r="T71" i="33"/>
  <c r="S71" i="33"/>
  <c r="H71" i="33"/>
  <c r="F71" i="33"/>
  <c r="G71" i="33" s="1"/>
  <c r="D71" i="33"/>
  <c r="AX70" i="33"/>
  <c r="AU70" i="33"/>
  <c r="AR70" i="33"/>
  <c r="AQ70" i="33"/>
  <c r="AN70" i="33"/>
  <c r="AL70" i="33"/>
  <c r="AK70" i="33"/>
  <c r="AJ70" i="33"/>
  <c r="AI70" i="33"/>
  <c r="AH70" i="33"/>
  <c r="AG70" i="33"/>
  <c r="AF70" i="33"/>
  <c r="AE70" i="33"/>
  <c r="AD70" i="33"/>
  <c r="AC70" i="33"/>
  <c r="AB70" i="33"/>
  <c r="AA70" i="33"/>
  <c r="Z70" i="33"/>
  <c r="Y70" i="33"/>
  <c r="X70" i="33"/>
  <c r="W70" i="33"/>
  <c r="V70" i="33"/>
  <c r="U70" i="33"/>
  <c r="T70" i="33"/>
  <c r="S70" i="33"/>
  <c r="H70" i="33"/>
  <c r="F70" i="33"/>
  <c r="G70" i="33" s="1"/>
  <c r="D70" i="33"/>
  <c r="AX69" i="33"/>
  <c r="AU69" i="33"/>
  <c r="AR69" i="33"/>
  <c r="AQ69" i="33"/>
  <c r="AN69" i="33"/>
  <c r="AL69" i="33"/>
  <c r="AK69" i="33"/>
  <c r="AJ69" i="33"/>
  <c r="AI69" i="33"/>
  <c r="AH69" i="33"/>
  <c r="AG69" i="33"/>
  <c r="AF69" i="33"/>
  <c r="AE69" i="33"/>
  <c r="AD69" i="33"/>
  <c r="AC69" i="33"/>
  <c r="AB69" i="33"/>
  <c r="AA69" i="33"/>
  <c r="Z69" i="33"/>
  <c r="Y69" i="33"/>
  <c r="X69" i="33"/>
  <c r="W69" i="33"/>
  <c r="V69" i="33"/>
  <c r="U69" i="33"/>
  <c r="T69" i="33"/>
  <c r="S69" i="33"/>
  <c r="H69" i="33"/>
  <c r="F69" i="33"/>
  <c r="G69" i="33" s="1"/>
  <c r="D69" i="33"/>
  <c r="AX68" i="33"/>
  <c r="AU68" i="33"/>
  <c r="AR68" i="33"/>
  <c r="AQ68" i="33"/>
  <c r="AN68" i="33"/>
  <c r="AL68" i="33"/>
  <c r="AK68" i="33"/>
  <c r="AJ68" i="33"/>
  <c r="AI68" i="33"/>
  <c r="AH68" i="33"/>
  <c r="AG68" i="33"/>
  <c r="AF68" i="33"/>
  <c r="AE68" i="33"/>
  <c r="AD68" i="33"/>
  <c r="AC68" i="33"/>
  <c r="AB68" i="33"/>
  <c r="AA68" i="33"/>
  <c r="Z68" i="33"/>
  <c r="Y68" i="33"/>
  <c r="X68" i="33"/>
  <c r="W68" i="33"/>
  <c r="V68" i="33"/>
  <c r="U68" i="33"/>
  <c r="T68" i="33"/>
  <c r="S68" i="33"/>
  <c r="H68" i="33"/>
  <c r="F68" i="33"/>
  <c r="G68" i="33" s="1"/>
  <c r="D68" i="33"/>
  <c r="AX67" i="33"/>
  <c r="AU67" i="33"/>
  <c r="AR67" i="33"/>
  <c r="AQ67" i="33"/>
  <c r="AN67" i="33"/>
  <c r="AL67" i="33"/>
  <c r="AK67" i="33"/>
  <c r="AJ67" i="33"/>
  <c r="AI67" i="33"/>
  <c r="AH67" i="33"/>
  <c r="AG67" i="33"/>
  <c r="AF67" i="33"/>
  <c r="AE67" i="33"/>
  <c r="AD67" i="33"/>
  <c r="AC67" i="33"/>
  <c r="AB67" i="33"/>
  <c r="AA67" i="33"/>
  <c r="Z67" i="33"/>
  <c r="Y67" i="33"/>
  <c r="X67" i="33"/>
  <c r="W67" i="33"/>
  <c r="V67" i="33"/>
  <c r="U67" i="33"/>
  <c r="T67" i="33"/>
  <c r="S67" i="33"/>
  <c r="H67" i="33"/>
  <c r="F67" i="33"/>
  <c r="G67" i="33" s="1"/>
  <c r="D67" i="33"/>
  <c r="AX66" i="33"/>
  <c r="AU66" i="33"/>
  <c r="AR66" i="33"/>
  <c r="AQ66" i="33"/>
  <c r="AN66" i="33"/>
  <c r="AL66" i="33"/>
  <c r="AK66" i="33"/>
  <c r="AJ66" i="33"/>
  <c r="AI66" i="33"/>
  <c r="AH66" i="33"/>
  <c r="AG66" i="33"/>
  <c r="AF66" i="33"/>
  <c r="AE66" i="33"/>
  <c r="AD66" i="33"/>
  <c r="AC66" i="33"/>
  <c r="AB66" i="33"/>
  <c r="AA66" i="33"/>
  <c r="Z66" i="33"/>
  <c r="Y66" i="33"/>
  <c r="X66" i="33"/>
  <c r="W66" i="33"/>
  <c r="V66" i="33"/>
  <c r="U66" i="33"/>
  <c r="T66" i="33"/>
  <c r="S66" i="33"/>
  <c r="H66" i="33"/>
  <c r="F66" i="33"/>
  <c r="G66" i="33" s="1"/>
  <c r="D66" i="33"/>
  <c r="AX65" i="33"/>
  <c r="AU65" i="33"/>
  <c r="AR65" i="33"/>
  <c r="AQ65" i="33"/>
  <c r="AN65" i="33"/>
  <c r="AL65" i="33"/>
  <c r="AK65" i="33"/>
  <c r="AJ65" i="33"/>
  <c r="AI65" i="33"/>
  <c r="AH65" i="33"/>
  <c r="AG65" i="33"/>
  <c r="AF65" i="33"/>
  <c r="AE65" i="33"/>
  <c r="AD65" i="33"/>
  <c r="AC65" i="33"/>
  <c r="AB65" i="33"/>
  <c r="AA65" i="33"/>
  <c r="Z65" i="33"/>
  <c r="Y65" i="33"/>
  <c r="X65" i="33"/>
  <c r="W65" i="33"/>
  <c r="V65" i="33"/>
  <c r="U65" i="33"/>
  <c r="T65" i="33"/>
  <c r="S65" i="33"/>
  <c r="H65" i="33"/>
  <c r="F65" i="33"/>
  <c r="G65" i="33" s="1"/>
  <c r="D65" i="33"/>
  <c r="AX64" i="33"/>
  <c r="AU64" i="33"/>
  <c r="AR64" i="33"/>
  <c r="AQ64" i="33"/>
  <c r="AN64" i="33"/>
  <c r="AL64" i="33"/>
  <c r="AK64" i="33"/>
  <c r="AJ64" i="33"/>
  <c r="AI64" i="33"/>
  <c r="AH64" i="33"/>
  <c r="AG64" i="33"/>
  <c r="AF64" i="33"/>
  <c r="AE64" i="33"/>
  <c r="AD64" i="33"/>
  <c r="AC64" i="33"/>
  <c r="AB64" i="33"/>
  <c r="AA64" i="33"/>
  <c r="Z64" i="33"/>
  <c r="Y64" i="33"/>
  <c r="X64" i="33"/>
  <c r="W64" i="33"/>
  <c r="V64" i="33"/>
  <c r="U64" i="33"/>
  <c r="T64" i="33"/>
  <c r="S64" i="33"/>
  <c r="H64" i="33"/>
  <c r="F64" i="33"/>
  <c r="G64" i="33" s="1"/>
  <c r="D64" i="33"/>
  <c r="AX63" i="33"/>
  <c r="AU63" i="33"/>
  <c r="AR63" i="33"/>
  <c r="AQ63" i="33"/>
  <c r="AN63" i="33"/>
  <c r="AL63" i="33"/>
  <c r="AK63" i="33"/>
  <c r="AJ63" i="33"/>
  <c r="AI63" i="33"/>
  <c r="AH63" i="33"/>
  <c r="AG63" i="33"/>
  <c r="AF63" i="33"/>
  <c r="AE63" i="33"/>
  <c r="AD63" i="33"/>
  <c r="AC63" i="33"/>
  <c r="AB63" i="33"/>
  <c r="AA63" i="33"/>
  <c r="Z63" i="33"/>
  <c r="Y63" i="33"/>
  <c r="X63" i="33"/>
  <c r="W63" i="33"/>
  <c r="V63" i="33"/>
  <c r="U63" i="33"/>
  <c r="T63" i="33"/>
  <c r="S63" i="33"/>
  <c r="H63" i="33"/>
  <c r="F63" i="33"/>
  <c r="G63" i="33" s="1"/>
  <c r="D63" i="33"/>
  <c r="AX62" i="33"/>
  <c r="AU62" i="33"/>
  <c r="AR62" i="33"/>
  <c r="AQ62" i="33"/>
  <c r="AN62" i="33"/>
  <c r="AL62" i="33"/>
  <c r="AK62" i="33"/>
  <c r="AJ62" i="33"/>
  <c r="AI62" i="33"/>
  <c r="AH62" i="33"/>
  <c r="AG62" i="33"/>
  <c r="AF62" i="33"/>
  <c r="AE62" i="33"/>
  <c r="AD62" i="33"/>
  <c r="AC62" i="33"/>
  <c r="AB62" i="33"/>
  <c r="AA62" i="33"/>
  <c r="Z62" i="33"/>
  <c r="Y62" i="33"/>
  <c r="X62" i="33"/>
  <c r="W62" i="33"/>
  <c r="V62" i="33"/>
  <c r="U62" i="33"/>
  <c r="T62" i="33"/>
  <c r="S62" i="33"/>
  <c r="H62" i="33"/>
  <c r="F62" i="33"/>
  <c r="G62" i="33" s="1"/>
  <c r="D62" i="33"/>
  <c r="AX61" i="33"/>
  <c r="AU61" i="33"/>
  <c r="AR61" i="33"/>
  <c r="AQ61" i="33"/>
  <c r="AN61" i="33"/>
  <c r="AL61" i="33"/>
  <c r="AK61" i="33"/>
  <c r="AJ61" i="33"/>
  <c r="AI61" i="33"/>
  <c r="AH61" i="33"/>
  <c r="AG61" i="33"/>
  <c r="AF61" i="33"/>
  <c r="AE61" i="33"/>
  <c r="AD61" i="33"/>
  <c r="AC61" i="33"/>
  <c r="AB61" i="33"/>
  <c r="AA61" i="33"/>
  <c r="Z61" i="33"/>
  <c r="Y61" i="33"/>
  <c r="X61" i="33"/>
  <c r="W61" i="33"/>
  <c r="V61" i="33"/>
  <c r="U61" i="33"/>
  <c r="T61" i="33"/>
  <c r="S61" i="33"/>
  <c r="H61" i="33"/>
  <c r="F61" i="33"/>
  <c r="G61" i="33" s="1"/>
  <c r="D61" i="33"/>
  <c r="AX60" i="33"/>
  <c r="AU60" i="33"/>
  <c r="AR60" i="33"/>
  <c r="AQ60" i="33"/>
  <c r="AN60" i="33"/>
  <c r="AL60" i="33"/>
  <c r="AK60" i="33"/>
  <c r="AJ60" i="33"/>
  <c r="AI60" i="33"/>
  <c r="AH60" i="33"/>
  <c r="AG60" i="33"/>
  <c r="AF60" i="33"/>
  <c r="AE60" i="33"/>
  <c r="AD60" i="33"/>
  <c r="AC60" i="33"/>
  <c r="AB60" i="33"/>
  <c r="AA60" i="33"/>
  <c r="Z60" i="33"/>
  <c r="Y60" i="33"/>
  <c r="X60" i="33"/>
  <c r="W60" i="33"/>
  <c r="V60" i="33"/>
  <c r="U60" i="33"/>
  <c r="T60" i="33"/>
  <c r="S60" i="33"/>
  <c r="H60" i="33"/>
  <c r="F60" i="33"/>
  <c r="G60" i="33" s="1"/>
  <c r="D60" i="33"/>
  <c r="AX59" i="33"/>
  <c r="AU59" i="33"/>
  <c r="AR59" i="33"/>
  <c r="AQ59" i="33"/>
  <c r="AN59" i="33"/>
  <c r="AL59" i="33"/>
  <c r="AK59" i="33"/>
  <c r="AJ59" i="33"/>
  <c r="AI59" i="33"/>
  <c r="AH59" i="33"/>
  <c r="AG59" i="33"/>
  <c r="AF59" i="33"/>
  <c r="AE59" i="33"/>
  <c r="AD59" i="33"/>
  <c r="AC59" i="33"/>
  <c r="AB59" i="33"/>
  <c r="AA59" i="33"/>
  <c r="Z59" i="33"/>
  <c r="Y59" i="33"/>
  <c r="X59" i="33"/>
  <c r="W59" i="33"/>
  <c r="V59" i="33"/>
  <c r="U59" i="33"/>
  <c r="T59" i="33"/>
  <c r="S59" i="33"/>
  <c r="H59" i="33"/>
  <c r="F59" i="33"/>
  <c r="G59" i="33" s="1"/>
  <c r="D59" i="33"/>
  <c r="AX58" i="33"/>
  <c r="AU58" i="33"/>
  <c r="AR58" i="33"/>
  <c r="AQ58" i="33"/>
  <c r="AN58" i="33"/>
  <c r="AL58" i="33"/>
  <c r="AK58" i="33"/>
  <c r="AJ58" i="33"/>
  <c r="AI58" i="33"/>
  <c r="AH58" i="33"/>
  <c r="AG58" i="33"/>
  <c r="AF58" i="33"/>
  <c r="AE58" i="33"/>
  <c r="AD58" i="33"/>
  <c r="AC58" i="33"/>
  <c r="AB58" i="33"/>
  <c r="AA58" i="33"/>
  <c r="Z58" i="33"/>
  <c r="Y58" i="33"/>
  <c r="X58" i="33"/>
  <c r="W58" i="33"/>
  <c r="V58" i="33"/>
  <c r="U58" i="33"/>
  <c r="T58" i="33"/>
  <c r="S58" i="33"/>
  <c r="H58" i="33"/>
  <c r="F58" i="33"/>
  <c r="G58" i="33" s="1"/>
  <c r="D58" i="33"/>
  <c r="AX57" i="33"/>
  <c r="AU57" i="33"/>
  <c r="AR57" i="33"/>
  <c r="AQ57" i="33"/>
  <c r="AN57" i="33"/>
  <c r="AL57" i="33"/>
  <c r="AK57" i="33"/>
  <c r="AJ57" i="33"/>
  <c r="AI57" i="33"/>
  <c r="AH57" i="33"/>
  <c r="AG57" i="33"/>
  <c r="AF57" i="33"/>
  <c r="AE57" i="33"/>
  <c r="AD57" i="33"/>
  <c r="AC57" i="33"/>
  <c r="AB57" i="33"/>
  <c r="AA57" i="33"/>
  <c r="Z57" i="33"/>
  <c r="Y57" i="33"/>
  <c r="X57" i="33"/>
  <c r="W57" i="33"/>
  <c r="V57" i="33"/>
  <c r="U57" i="33"/>
  <c r="T57" i="33"/>
  <c r="S57" i="33"/>
  <c r="H57" i="33"/>
  <c r="F57" i="33"/>
  <c r="G57" i="33" s="1"/>
  <c r="D57" i="33"/>
  <c r="AX56" i="33"/>
  <c r="AU56" i="33"/>
  <c r="AR56" i="33"/>
  <c r="AQ56" i="33"/>
  <c r="AN56" i="33"/>
  <c r="AL56" i="33"/>
  <c r="AK56" i="33"/>
  <c r="AJ56" i="33"/>
  <c r="AI56" i="33"/>
  <c r="AH56" i="33"/>
  <c r="AG56" i="33"/>
  <c r="AF56" i="33"/>
  <c r="AE56" i="33"/>
  <c r="AD56" i="33"/>
  <c r="AC56" i="33"/>
  <c r="AB56" i="33"/>
  <c r="AA56" i="33"/>
  <c r="Z56" i="33"/>
  <c r="Y56" i="33"/>
  <c r="X56" i="33"/>
  <c r="W56" i="33"/>
  <c r="V56" i="33"/>
  <c r="U56" i="33"/>
  <c r="T56" i="33"/>
  <c r="S56" i="33"/>
  <c r="H56" i="33"/>
  <c r="F56" i="33"/>
  <c r="G56" i="33" s="1"/>
  <c r="D56" i="33"/>
  <c r="AX55" i="33"/>
  <c r="AU55" i="33"/>
  <c r="AR55" i="33"/>
  <c r="AQ55" i="33"/>
  <c r="AN55" i="33"/>
  <c r="AL55" i="33"/>
  <c r="AK55" i="33"/>
  <c r="AJ55" i="33"/>
  <c r="AI55" i="33"/>
  <c r="AH55" i="33"/>
  <c r="AG55" i="33"/>
  <c r="AF55" i="33"/>
  <c r="AE55" i="33"/>
  <c r="AD55" i="33"/>
  <c r="AC55" i="33"/>
  <c r="AB55" i="33"/>
  <c r="AA55" i="33"/>
  <c r="Z55" i="33"/>
  <c r="Y55" i="33"/>
  <c r="X55" i="33"/>
  <c r="W55" i="33"/>
  <c r="V55" i="33"/>
  <c r="U55" i="33"/>
  <c r="T55" i="33"/>
  <c r="S55" i="33"/>
  <c r="H55" i="33"/>
  <c r="F55" i="33"/>
  <c r="G55" i="33" s="1"/>
  <c r="D55" i="33"/>
  <c r="AX54" i="33"/>
  <c r="AU54" i="33"/>
  <c r="AR54" i="33"/>
  <c r="AQ54" i="33"/>
  <c r="AN54" i="33"/>
  <c r="AL54" i="33"/>
  <c r="AK54" i="33"/>
  <c r="AJ54" i="33"/>
  <c r="AI54" i="33"/>
  <c r="AH54" i="33"/>
  <c r="AG54" i="33"/>
  <c r="AF54" i="33"/>
  <c r="AE54" i="33"/>
  <c r="AD54" i="33"/>
  <c r="AC54" i="33"/>
  <c r="AB54" i="33"/>
  <c r="AA54" i="33"/>
  <c r="Z54" i="33"/>
  <c r="Y54" i="33"/>
  <c r="X54" i="33"/>
  <c r="W54" i="33"/>
  <c r="V54" i="33"/>
  <c r="U54" i="33"/>
  <c r="T54" i="33"/>
  <c r="S54" i="33"/>
  <c r="H54" i="33"/>
  <c r="F54" i="33"/>
  <c r="G54" i="33" s="1"/>
  <c r="D54" i="33"/>
  <c r="AX53" i="33"/>
  <c r="AU53" i="33"/>
  <c r="AR53" i="33"/>
  <c r="AQ53" i="33"/>
  <c r="AN53" i="33"/>
  <c r="AL53" i="33"/>
  <c r="AK53" i="33"/>
  <c r="AJ53" i="33"/>
  <c r="AI53" i="33"/>
  <c r="AH53" i="33"/>
  <c r="AG53" i="33"/>
  <c r="AF53" i="33"/>
  <c r="AE53" i="33"/>
  <c r="AD53" i="33"/>
  <c r="AC53" i="33"/>
  <c r="AB53" i="33"/>
  <c r="AA53" i="33"/>
  <c r="Z53" i="33"/>
  <c r="Y53" i="33"/>
  <c r="X53" i="33"/>
  <c r="W53" i="33"/>
  <c r="V53" i="33"/>
  <c r="U53" i="33"/>
  <c r="T53" i="33"/>
  <c r="S53" i="33"/>
  <c r="H53" i="33"/>
  <c r="F53" i="33"/>
  <c r="G53" i="33" s="1"/>
  <c r="D53" i="33"/>
  <c r="AX52" i="33"/>
  <c r="AU52" i="33"/>
  <c r="AR52" i="33"/>
  <c r="AQ52" i="33"/>
  <c r="AN52" i="33"/>
  <c r="AL52" i="33"/>
  <c r="AK52" i="33"/>
  <c r="AJ52" i="33"/>
  <c r="AI52" i="33"/>
  <c r="AH52" i="33"/>
  <c r="AG52" i="33"/>
  <c r="AF52" i="33"/>
  <c r="AE52" i="33"/>
  <c r="AD52" i="33"/>
  <c r="AC52" i="33"/>
  <c r="AB52" i="33"/>
  <c r="AA52" i="33"/>
  <c r="Z52" i="33"/>
  <c r="Y52" i="33"/>
  <c r="X52" i="33"/>
  <c r="W52" i="33"/>
  <c r="V52" i="33"/>
  <c r="U52" i="33"/>
  <c r="T52" i="33"/>
  <c r="S52" i="33"/>
  <c r="H52" i="33"/>
  <c r="F52" i="33"/>
  <c r="G52" i="33" s="1"/>
  <c r="D52" i="33"/>
  <c r="AX51" i="33"/>
  <c r="AU51" i="33"/>
  <c r="AR51" i="33"/>
  <c r="AQ51" i="33"/>
  <c r="AN51" i="33"/>
  <c r="AL51" i="33"/>
  <c r="AK51" i="33"/>
  <c r="AJ51" i="33"/>
  <c r="AI51" i="33"/>
  <c r="AH51" i="33"/>
  <c r="AG51" i="33"/>
  <c r="AF51" i="33"/>
  <c r="AE51" i="33"/>
  <c r="AD51" i="33"/>
  <c r="AC51" i="33"/>
  <c r="AB51" i="33"/>
  <c r="AA51" i="33"/>
  <c r="Z51" i="33"/>
  <c r="Y51" i="33"/>
  <c r="X51" i="33"/>
  <c r="W51" i="33"/>
  <c r="V51" i="33"/>
  <c r="U51" i="33"/>
  <c r="T51" i="33"/>
  <c r="S51" i="33"/>
  <c r="H51" i="33"/>
  <c r="F51" i="33"/>
  <c r="G51" i="33" s="1"/>
  <c r="D51" i="33"/>
  <c r="AX50" i="33"/>
  <c r="AU50" i="33"/>
  <c r="AR50" i="33"/>
  <c r="AQ50" i="33"/>
  <c r="AN50" i="33"/>
  <c r="AL50" i="33"/>
  <c r="AK50" i="33"/>
  <c r="AJ50" i="33"/>
  <c r="AI50" i="33"/>
  <c r="AH50" i="33"/>
  <c r="AG50" i="33"/>
  <c r="AF50" i="33"/>
  <c r="AE50" i="33"/>
  <c r="AD50" i="33"/>
  <c r="AC50" i="33"/>
  <c r="AB50" i="33"/>
  <c r="AA50" i="33"/>
  <c r="Z50" i="33"/>
  <c r="Y50" i="33"/>
  <c r="X50" i="33"/>
  <c r="W50" i="33"/>
  <c r="V50" i="33"/>
  <c r="U50" i="33"/>
  <c r="T50" i="33"/>
  <c r="S50" i="33"/>
  <c r="H50" i="33"/>
  <c r="F50" i="33"/>
  <c r="G50" i="33" s="1"/>
  <c r="D50" i="33"/>
  <c r="AX49" i="33"/>
  <c r="AU49" i="33"/>
  <c r="AR49" i="33"/>
  <c r="AQ49" i="33"/>
  <c r="AN49" i="33"/>
  <c r="AL49" i="33"/>
  <c r="AK49" i="33"/>
  <c r="AJ49" i="33"/>
  <c r="AI49" i="33"/>
  <c r="AH49" i="33"/>
  <c r="AG49" i="33"/>
  <c r="AF49" i="33"/>
  <c r="AE49" i="33"/>
  <c r="AD49" i="33"/>
  <c r="AC49" i="33"/>
  <c r="AB49" i="33"/>
  <c r="AA49" i="33"/>
  <c r="Z49" i="33"/>
  <c r="Y49" i="33"/>
  <c r="X49" i="33"/>
  <c r="W49" i="33"/>
  <c r="V49" i="33"/>
  <c r="U49" i="33"/>
  <c r="T49" i="33"/>
  <c r="S49" i="33"/>
  <c r="H49" i="33"/>
  <c r="F49" i="33"/>
  <c r="G49" i="33" s="1"/>
  <c r="D49" i="33"/>
  <c r="AX48" i="33"/>
  <c r="AU48" i="33"/>
  <c r="AR48" i="33"/>
  <c r="AQ48" i="33"/>
  <c r="AN48" i="33"/>
  <c r="AL48" i="33"/>
  <c r="AK48" i="33"/>
  <c r="AJ48" i="33"/>
  <c r="AI48" i="33"/>
  <c r="AH48" i="33"/>
  <c r="AG48" i="33"/>
  <c r="AF48" i="33"/>
  <c r="AE48" i="33"/>
  <c r="AD48" i="33"/>
  <c r="AC48" i="33"/>
  <c r="AB48" i="33"/>
  <c r="AA48" i="33"/>
  <c r="Z48" i="33"/>
  <c r="Y48" i="33"/>
  <c r="X48" i="33"/>
  <c r="W48" i="33"/>
  <c r="V48" i="33"/>
  <c r="U48" i="33"/>
  <c r="T48" i="33"/>
  <c r="S48" i="33"/>
  <c r="H48" i="33"/>
  <c r="F48" i="33"/>
  <c r="G48" i="33" s="1"/>
  <c r="D48" i="33"/>
  <c r="AX47" i="33"/>
  <c r="AU47" i="33"/>
  <c r="AR47" i="33"/>
  <c r="AQ47" i="33"/>
  <c r="AN47" i="33"/>
  <c r="AL47" i="33"/>
  <c r="AK47" i="33"/>
  <c r="AJ47" i="33"/>
  <c r="AI47" i="33"/>
  <c r="AH47" i="33"/>
  <c r="AG47" i="33"/>
  <c r="AF47" i="33"/>
  <c r="AE47" i="33"/>
  <c r="AD47" i="33"/>
  <c r="AC47" i="33"/>
  <c r="AB47" i="33"/>
  <c r="AA47" i="33"/>
  <c r="Z47" i="33"/>
  <c r="Y47" i="33"/>
  <c r="X47" i="33"/>
  <c r="W47" i="33"/>
  <c r="V47" i="33"/>
  <c r="U47" i="33"/>
  <c r="T47" i="33"/>
  <c r="S47" i="33"/>
  <c r="H47" i="33"/>
  <c r="F47" i="33"/>
  <c r="G47" i="33" s="1"/>
  <c r="D47" i="33"/>
  <c r="AX46" i="33"/>
  <c r="AU46" i="33"/>
  <c r="AR46" i="33"/>
  <c r="AQ46" i="33"/>
  <c r="AN46" i="33"/>
  <c r="AL46" i="33"/>
  <c r="AK46" i="33"/>
  <c r="AJ46" i="33"/>
  <c r="AI46" i="33"/>
  <c r="AH46" i="33"/>
  <c r="AG46" i="33"/>
  <c r="AF46" i="33"/>
  <c r="AE46" i="33"/>
  <c r="AD46" i="33"/>
  <c r="AC46" i="33"/>
  <c r="AB46" i="33"/>
  <c r="AA46" i="33"/>
  <c r="Z46" i="33"/>
  <c r="Y46" i="33"/>
  <c r="X46" i="33"/>
  <c r="W46" i="33"/>
  <c r="V46" i="33"/>
  <c r="U46" i="33"/>
  <c r="T46" i="33"/>
  <c r="S46" i="33"/>
  <c r="H46" i="33"/>
  <c r="F46" i="33"/>
  <c r="G46" i="33" s="1"/>
  <c r="D46" i="33"/>
  <c r="AX45" i="33"/>
  <c r="AU45" i="33"/>
  <c r="AR45" i="33"/>
  <c r="AQ45" i="33"/>
  <c r="AN45" i="33"/>
  <c r="AL45" i="33"/>
  <c r="AK45" i="33"/>
  <c r="AJ45" i="33"/>
  <c r="AI45" i="33"/>
  <c r="AH45" i="33"/>
  <c r="AG45" i="33"/>
  <c r="AF45" i="33"/>
  <c r="AE45" i="33"/>
  <c r="AD45" i="33"/>
  <c r="AC45" i="33"/>
  <c r="AB45" i="33"/>
  <c r="AA45" i="33"/>
  <c r="Z45" i="33"/>
  <c r="Y45" i="33"/>
  <c r="X45" i="33"/>
  <c r="W45" i="33"/>
  <c r="V45" i="33"/>
  <c r="U45" i="33"/>
  <c r="T45" i="33"/>
  <c r="S45" i="33"/>
  <c r="H45" i="33"/>
  <c r="F45" i="33"/>
  <c r="G45" i="33" s="1"/>
  <c r="D45" i="33"/>
  <c r="AX44" i="33"/>
  <c r="AU44" i="33"/>
  <c r="AR44" i="33"/>
  <c r="AQ44" i="33"/>
  <c r="AN44" i="33"/>
  <c r="AL44" i="33"/>
  <c r="AK44" i="33"/>
  <c r="AJ44" i="33"/>
  <c r="AI44" i="33"/>
  <c r="AH44" i="33"/>
  <c r="AG44" i="33"/>
  <c r="AF44" i="33"/>
  <c r="AE44" i="33"/>
  <c r="AD44" i="33"/>
  <c r="AC44" i="33"/>
  <c r="AB44" i="33"/>
  <c r="AA44" i="33"/>
  <c r="Z44" i="33"/>
  <c r="Y44" i="33"/>
  <c r="X44" i="33"/>
  <c r="W44" i="33"/>
  <c r="V44" i="33"/>
  <c r="U44" i="33"/>
  <c r="T44" i="33"/>
  <c r="S44" i="33"/>
  <c r="H44" i="33"/>
  <c r="F44" i="33"/>
  <c r="G44" i="33" s="1"/>
  <c r="D44" i="33"/>
  <c r="AX43" i="33"/>
  <c r="AU43" i="33"/>
  <c r="AR43" i="33"/>
  <c r="AQ43" i="33"/>
  <c r="AN43" i="33"/>
  <c r="AL43" i="33"/>
  <c r="AK43" i="33"/>
  <c r="AJ43" i="33"/>
  <c r="AI43" i="33"/>
  <c r="AH43" i="33"/>
  <c r="AG43" i="33"/>
  <c r="AF43" i="33"/>
  <c r="AE43" i="33"/>
  <c r="AD43" i="33"/>
  <c r="AC43" i="33"/>
  <c r="AB43" i="33"/>
  <c r="AA43" i="33"/>
  <c r="Z43" i="33"/>
  <c r="Y43" i="33"/>
  <c r="X43" i="33"/>
  <c r="W43" i="33"/>
  <c r="V43" i="33"/>
  <c r="U43" i="33"/>
  <c r="T43" i="33"/>
  <c r="S43" i="33"/>
  <c r="H43" i="33"/>
  <c r="F43" i="33"/>
  <c r="G43" i="33" s="1"/>
  <c r="D43" i="33"/>
  <c r="AX42" i="33"/>
  <c r="AU42" i="33"/>
  <c r="AR42" i="33"/>
  <c r="AQ42" i="33"/>
  <c r="AN42" i="33"/>
  <c r="AL42" i="33"/>
  <c r="AK42" i="33"/>
  <c r="AJ42" i="33"/>
  <c r="AI42" i="33"/>
  <c r="AH42" i="33"/>
  <c r="AG42" i="33"/>
  <c r="AF42" i="33"/>
  <c r="AE42" i="33"/>
  <c r="AD42" i="33"/>
  <c r="AC42" i="33"/>
  <c r="AB42" i="33"/>
  <c r="AA42" i="33"/>
  <c r="Z42" i="33"/>
  <c r="Y42" i="33"/>
  <c r="X42" i="33"/>
  <c r="W42" i="33"/>
  <c r="V42" i="33"/>
  <c r="U42" i="33"/>
  <c r="T42" i="33"/>
  <c r="S42" i="33"/>
  <c r="H42" i="33"/>
  <c r="F42" i="33"/>
  <c r="G42" i="33" s="1"/>
  <c r="D42" i="33"/>
  <c r="AX41" i="33"/>
  <c r="AU41" i="33"/>
  <c r="AR41" i="33"/>
  <c r="AQ41" i="33"/>
  <c r="AN41" i="33"/>
  <c r="AL41" i="33"/>
  <c r="AK41" i="33"/>
  <c r="AJ41" i="33"/>
  <c r="AI41" i="33"/>
  <c r="AH41" i="33"/>
  <c r="AG41" i="33"/>
  <c r="AF41" i="33"/>
  <c r="AE41" i="33"/>
  <c r="AD41" i="33"/>
  <c r="AC41" i="33"/>
  <c r="AB41" i="33"/>
  <c r="AA41" i="33"/>
  <c r="Z41" i="33"/>
  <c r="Y41" i="33"/>
  <c r="X41" i="33"/>
  <c r="W41" i="33"/>
  <c r="V41" i="33"/>
  <c r="U41" i="33"/>
  <c r="T41" i="33"/>
  <c r="S41" i="33"/>
  <c r="H41" i="33"/>
  <c r="F41" i="33"/>
  <c r="G41" i="33" s="1"/>
  <c r="D41" i="33"/>
  <c r="AX40" i="33"/>
  <c r="AU40" i="33"/>
  <c r="AR40" i="33"/>
  <c r="AQ40" i="33"/>
  <c r="AN40" i="33"/>
  <c r="AL40" i="33"/>
  <c r="AK40" i="33"/>
  <c r="AJ40" i="33"/>
  <c r="AI40" i="33"/>
  <c r="AH40" i="33"/>
  <c r="AG40" i="33"/>
  <c r="AF40" i="33"/>
  <c r="AE40" i="33"/>
  <c r="AD40" i="33"/>
  <c r="AC40" i="33"/>
  <c r="AB40" i="33"/>
  <c r="AA40" i="33"/>
  <c r="Z40" i="33"/>
  <c r="Y40" i="33"/>
  <c r="X40" i="33"/>
  <c r="W40" i="33"/>
  <c r="V40" i="33"/>
  <c r="U40" i="33"/>
  <c r="T40" i="33"/>
  <c r="S40" i="33"/>
  <c r="H40" i="33"/>
  <c r="F40" i="33"/>
  <c r="G40" i="33" s="1"/>
  <c r="D40" i="33"/>
  <c r="AX39" i="33"/>
  <c r="AU39" i="33"/>
  <c r="AR39" i="33"/>
  <c r="AQ39" i="33"/>
  <c r="AN39" i="33"/>
  <c r="AL39" i="33"/>
  <c r="AK39" i="33"/>
  <c r="AJ39" i="33"/>
  <c r="AI39" i="33"/>
  <c r="AH39" i="33"/>
  <c r="AG39" i="33"/>
  <c r="AF39" i="33"/>
  <c r="AE39" i="33"/>
  <c r="AD39" i="33"/>
  <c r="AC39" i="33"/>
  <c r="AB39" i="33"/>
  <c r="AA39" i="33"/>
  <c r="Z39" i="33"/>
  <c r="Y39" i="33"/>
  <c r="X39" i="33"/>
  <c r="W39" i="33"/>
  <c r="V39" i="33"/>
  <c r="U39" i="33"/>
  <c r="T39" i="33"/>
  <c r="S39" i="33"/>
  <c r="H39" i="33"/>
  <c r="F39" i="33"/>
  <c r="G39" i="33" s="1"/>
  <c r="D39" i="33"/>
  <c r="AX38" i="33"/>
  <c r="AU38" i="33"/>
  <c r="AR38" i="33"/>
  <c r="AQ38" i="33"/>
  <c r="AN38" i="33"/>
  <c r="AL38" i="33"/>
  <c r="AK38" i="33"/>
  <c r="AJ38" i="33"/>
  <c r="AI38" i="33"/>
  <c r="AH38" i="33"/>
  <c r="AG38" i="33"/>
  <c r="AF38" i="33"/>
  <c r="AE38" i="33"/>
  <c r="AD38" i="33"/>
  <c r="AC38" i="33"/>
  <c r="AB38" i="33"/>
  <c r="AA38" i="33"/>
  <c r="Z38" i="33"/>
  <c r="Y38" i="33"/>
  <c r="X38" i="33"/>
  <c r="W38" i="33"/>
  <c r="V38" i="33"/>
  <c r="U38" i="33"/>
  <c r="T38" i="33"/>
  <c r="S38" i="33"/>
  <c r="H38" i="33"/>
  <c r="F38" i="33"/>
  <c r="G38" i="33" s="1"/>
  <c r="D38" i="33"/>
  <c r="AX37" i="33"/>
  <c r="AU37" i="33"/>
  <c r="AR37" i="33"/>
  <c r="AQ37" i="33"/>
  <c r="AN37" i="33"/>
  <c r="AL37" i="33"/>
  <c r="AK37" i="33"/>
  <c r="AJ37" i="33"/>
  <c r="AI37" i="33"/>
  <c r="AH37" i="33"/>
  <c r="AG37" i="33"/>
  <c r="AF37" i="33"/>
  <c r="AE37" i="33"/>
  <c r="AD37" i="33"/>
  <c r="AC37" i="33"/>
  <c r="AB37" i="33"/>
  <c r="AA37" i="33"/>
  <c r="Z37" i="33"/>
  <c r="Y37" i="33"/>
  <c r="X37" i="33"/>
  <c r="W37" i="33"/>
  <c r="V37" i="33"/>
  <c r="U37" i="33"/>
  <c r="T37" i="33"/>
  <c r="S37" i="33"/>
  <c r="H37" i="33"/>
  <c r="F37" i="33"/>
  <c r="G37" i="33" s="1"/>
  <c r="D37" i="33"/>
  <c r="AX36" i="33"/>
  <c r="AU36" i="33"/>
  <c r="AR36" i="33"/>
  <c r="AQ36" i="33"/>
  <c r="AN36" i="33"/>
  <c r="AL36" i="33"/>
  <c r="AK36" i="33"/>
  <c r="AJ36" i="33"/>
  <c r="AI36" i="33"/>
  <c r="AH36" i="33"/>
  <c r="AG36" i="33"/>
  <c r="AF36" i="33"/>
  <c r="AE36" i="33"/>
  <c r="AD36" i="33"/>
  <c r="AC36" i="33"/>
  <c r="AB36" i="33"/>
  <c r="AA36" i="33"/>
  <c r="Z36" i="33"/>
  <c r="Y36" i="33"/>
  <c r="X36" i="33"/>
  <c r="W36" i="33"/>
  <c r="V36" i="33"/>
  <c r="U36" i="33"/>
  <c r="T36" i="33"/>
  <c r="S36" i="33"/>
  <c r="H36" i="33"/>
  <c r="F36" i="33"/>
  <c r="G36" i="33" s="1"/>
  <c r="D36" i="33"/>
  <c r="AX35" i="33"/>
  <c r="AU35" i="33"/>
  <c r="AR35" i="33"/>
  <c r="AQ35" i="33"/>
  <c r="AN35" i="33"/>
  <c r="AL35" i="33"/>
  <c r="AK35" i="33"/>
  <c r="AJ35" i="33"/>
  <c r="AI35" i="33"/>
  <c r="AH35" i="33"/>
  <c r="AG35" i="33"/>
  <c r="AF35" i="33"/>
  <c r="AE35" i="33"/>
  <c r="AD35" i="33"/>
  <c r="AC35" i="33"/>
  <c r="AB35" i="33"/>
  <c r="AA35" i="33"/>
  <c r="Z35" i="33"/>
  <c r="Y35" i="33"/>
  <c r="X35" i="33"/>
  <c r="W35" i="33"/>
  <c r="V35" i="33"/>
  <c r="U35" i="33"/>
  <c r="T35" i="33"/>
  <c r="S35" i="33"/>
  <c r="H35" i="33"/>
  <c r="F35" i="33"/>
  <c r="G35" i="33" s="1"/>
  <c r="D35" i="33"/>
  <c r="AX34" i="33"/>
  <c r="AU34" i="33"/>
  <c r="AR34" i="33"/>
  <c r="AQ34" i="33"/>
  <c r="AN34" i="33"/>
  <c r="AL34" i="33"/>
  <c r="AK34" i="33"/>
  <c r="AJ34" i="33"/>
  <c r="AI34" i="33"/>
  <c r="AH34" i="33"/>
  <c r="AG34" i="33"/>
  <c r="AF34" i="33"/>
  <c r="AE34" i="33"/>
  <c r="AD34" i="33"/>
  <c r="AC34" i="33"/>
  <c r="AB34" i="33"/>
  <c r="AA34" i="33"/>
  <c r="Z34" i="33"/>
  <c r="Y34" i="33"/>
  <c r="X34" i="33"/>
  <c r="W34" i="33"/>
  <c r="V34" i="33"/>
  <c r="U34" i="33"/>
  <c r="T34" i="33"/>
  <c r="S34" i="33"/>
  <c r="H34" i="33"/>
  <c r="F34" i="33"/>
  <c r="G34" i="33" s="1"/>
  <c r="D34" i="33"/>
  <c r="AX33" i="33"/>
  <c r="AU33" i="33"/>
  <c r="AR33" i="33"/>
  <c r="AQ33" i="33"/>
  <c r="AN33" i="33"/>
  <c r="AL33" i="33"/>
  <c r="AK33" i="33"/>
  <c r="AJ33" i="33"/>
  <c r="AI33" i="33"/>
  <c r="AH33" i="33"/>
  <c r="AG33" i="33"/>
  <c r="AF33" i="33"/>
  <c r="AE33" i="33"/>
  <c r="AD33" i="33"/>
  <c r="AC33" i="33"/>
  <c r="AB33" i="33"/>
  <c r="AA33" i="33"/>
  <c r="Z33" i="33"/>
  <c r="Y33" i="33"/>
  <c r="X33" i="33"/>
  <c r="W33" i="33"/>
  <c r="V33" i="33"/>
  <c r="U33" i="33"/>
  <c r="T33" i="33"/>
  <c r="S33" i="33"/>
  <c r="H33" i="33"/>
  <c r="F33" i="33"/>
  <c r="G33" i="33" s="1"/>
  <c r="D33" i="33"/>
  <c r="AX32" i="33"/>
  <c r="AU32" i="33"/>
  <c r="AR32" i="33"/>
  <c r="AQ32" i="33"/>
  <c r="AN32" i="33"/>
  <c r="AL32" i="33"/>
  <c r="AK32" i="33"/>
  <c r="AJ32" i="33"/>
  <c r="AI32" i="33"/>
  <c r="AH32" i="33"/>
  <c r="AG32" i="33"/>
  <c r="AF32" i="33"/>
  <c r="AE32" i="33"/>
  <c r="AD32" i="33"/>
  <c r="AC32" i="33"/>
  <c r="AB32" i="33"/>
  <c r="AA32" i="33"/>
  <c r="Z32" i="33"/>
  <c r="Y32" i="33"/>
  <c r="X32" i="33"/>
  <c r="W32" i="33"/>
  <c r="V32" i="33"/>
  <c r="U32" i="33"/>
  <c r="T32" i="33"/>
  <c r="S32" i="33"/>
  <c r="H32" i="33"/>
  <c r="F32" i="33"/>
  <c r="G32" i="33" s="1"/>
  <c r="D32" i="33"/>
  <c r="AX31" i="33"/>
  <c r="AU31" i="33"/>
  <c r="AR31" i="33"/>
  <c r="AQ31" i="33"/>
  <c r="AN31" i="33"/>
  <c r="AL31" i="33"/>
  <c r="AK31" i="33"/>
  <c r="AJ31" i="33"/>
  <c r="AI31" i="33"/>
  <c r="AH31" i="33"/>
  <c r="AG31" i="33"/>
  <c r="AF31" i="33"/>
  <c r="AE31" i="33"/>
  <c r="AD31" i="33"/>
  <c r="AC31" i="33"/>
  <c r="AB31" i="33"/>
  <c r="AA31" i="33"/>
  <c r="Z31" i="33"/>
  <c r="Y31" i="33"/>
  <c r="X31" i="33"/>
  <c r="W31" i="33"/>
  <c r="V31" i="33"/>
  <c r="U31" i="33"/>
  <c r="T31" i="33"/>
  <c r="S31" i="33"/>
  <c r="H31" i="33"/>
  <c r="F31" i="33"/>
  <c r="G31" i="33" s="1"/>
  <c r="D31" i="33"/>
  <c r="AU30" i="33"/>
  <c r="AQ30" i="33"/>
  <c r="AN30" i="33"/>
  <c r="AL30" i="33"/>
  <c r="AK30" i="33"/>
  <c r="AJ30" i="33"/>
  <c r="AI30" i="33"/>
  <c r="AH30" i="33"/>
  <c r="AG30" i="33"/>
  <c r="AF30" i="33"/>
  <c r="AE30" i="33"/>
  <c r="AD30" i="33"/>
  <c r="AC30" i="33"/>
  <c r="AB30" i="33"/>
  <c r="AA30" i="33"/>
  <c r="Z30" i="33"/>
  <c r="Y30" i="33"/>
  <c r="X30" i="33"/>
  <c r="W30" i="33"/>
  <c r="V30" i="33"/>
  <c r="U30" i="33"/>
  <c r="T30" i="33"/>
  <c r="S30" i="33"/>
  <c r="H30" i="33"/>
  <c r="F30" i="33"/>
  <c r="G30" i="33" s="1"/>
  <c r="D30" i="33"/>
  <c r="AX29" i="33"/>
  <c r="AU29" i="33"/>
  <c r="AR29" i="33"/>
  <c r="AQ29" i="33"/>
  <c r="AN29" i="33"/>
  <c r="AL29" i="33"/>
  <c r="AK29" i="33"/>
  <c r="AJ29" i="33"/>
  <c r="AI29" i="33"/>
  <c r="AH29" i="33"/>
  <c r="AG29" i="33"/>
  <c r="AF29" i="33"/>
  <c r="AE29" i="33"/>
  <c r="AD29" i="33"/>
  <c r="AC29" i="33"/>
  <c r="AB29" i="33"/>
  <c r="AA29" i="33"/>
  <c r="Z29" i="33"/>
  <c r="Y29" i="33"/>
  <c r="X29" i="33"/>
  <c r="W29" i="33"/>
  <c r="V29" i="33"/>
  <c r="U29" i="33"/>
  <c r="T29" i="33"/>
  <c r="S29" i="33"/>
  <c r="H29" i="33"/>
  <c r="F29" i="33"/>
  <c r="G29" i="33" s="1"/>
  <c r="D29" i="33"/>
  <c r="AX28" i="33"/>
  <c r="AU28" i="33"/>
  <c r="AR28" i="33"/>
  <c r="AQ28" i="33"/>
  <c r="AN28" i="33"/>
  <c r="AL28" i="33"/>
  <c r="AK28" i="33"/>
  <c r="AJ28" i="33"/>
  <c r="AI28" i="33"/>
  <c r="AH28" i="33"/>
  <c r="AG28" i="33"/>
  <c r="AF28" i="33"/>
  <c r="AE28" i="33"/>
  <c r="AD28" i="33"/>
  <c r="AC28" i="33"/>
  <c r="AB28" i="33"/>
  <c r="AA28" i="33"/>
  <c r="Z28" i="33"/>
  <c r="Y28" i="33"/>
  <c r="X28" i="33"/>
  <c r="W28" i="33"/>
  <c r="V28" i="33"/>
  <c r="U28" i="33"/>
  <c r="T28" i="33"/>
  <c r="S28" i="33"/>
  <c r="H28" i="33"/>
  <c r="F28" i="33"/>
  <c r="G28" i="33" s="1"/>
  <c r="D28" i="33"/>
  <c r="AX27" i="33"/>
  <c r="AU27" i="33"/>
  <c r="AR27" i="33"/>
  <c r="AQ27" i="33"/>
  <c r="AN27" i="33"/>
  <c r="AL27" i="33"/>
  <c r="AK27" i="33"/>
  <c r="AJ27" i="33"/>
  <c r="AI27" i="33"/>
  <c r="AH27" i="33"/>
  <c r="AG27" i="33"/>
  <c r="AF27" i="33"/>
  <c r="AE27" i="33"/>
  <c r="AD27" i="33"/>
  <c r="AC27" i="33"/>
  <c r="AB27" i="33"/>
  <c r="AA27" i="33"/>
  <c r="Z27" i="33"/>
  <c r="Y27" i="33"/>
  <c r="X27" i="33"/>
  <c r="W27" i="33"/>
  <c r="V27" i="33"/>
  <c r="U27" i="33"/>
  <c r="T27" i="33"/>
  <c r="S27" i="33"/>
  <c r="H27" i="33"/>
  <c r="F27" i="33"/>
  <c r="G27" i="33" s="1"/>
  <c r="D27" i="33"/>
  <c r="AX26" i="33"/>
  <c r="AU26" i="33"/>
  <c r="AR26" i="33"/>
  <c r="AQ26" i="33"/>
  <c r="AL26" i="33"/>
  <c r="AK26" i="33"/>
  <c r="AJ26" i="33"/>
  <c r="AI26" i="33"/>
  <c r="AH26" i="33"/>
  <c r="AG26" i="33"/>
  <c r="AF26" i="33"/>
  <c r="AE26" i="33"/>
  <c r="AD26" i="33"/>
  <c r="AC26" i="33"/>
  <c r="AB26" i="33"/>
  <c r="AA26" i="33"/>
  <c r="Z26" i="33"/>
  <c r="Y26" i="33"/>
  <c r="X26" i="33"/>
  <c r="W26" i="33"/>
  <c r="V26" i="33"/>
  <c r="U26" i="33"/>
  <c r="T26" i="33"/>
  <c r="S26" i="33"/>
  <c r="H26" i="33"/>
  <c r="F26" i="33"/>
  <c r="G26" i="33" s="1"/>
  <c r="D26" i="33"/>
  <c r="O109" i="28"/>
  <c r="O125" i="33" s="1"/>
  <c r="P125" i="33" s="1"/>
  <c r="N109" i="28"/>
  <c r="N125" i="33" s="1"/>
  <c r="K109" i="28"/>
  <c r="J109" i="28"/>
  <c r="J125" i="33" s="1"/>
  <c r="I109" i="28"/>
  <c r="I125" i="33" s="1"/>
  <c r="O108" i="28"/>
  <c r="N108" i="28"/>
  <c r="K108" i="28"/>
  <c r="J108" i="28"/>
  <c r="J124" i="33" s="1"/>
  <c r="I108" i="28"/>
  <c r="I124" i="33" s="1"/>
  <c r="O107" i="28"/>
  <c r="O123" i="33" s="1"/>
  <c r="P123" i="33" s="1"/>
  <c r="N107" i="28"/>
  <c r="N123" i="33" s="1"/>
  <c r="K107" i="28"/>
  <c r="J107" i="28"/>
  <c r="J123" i="33" s="1"/>
  <c r="I107" i="28"/>
  <c r="I123" i="33" s="1"/>
  <c r="O106" i="28"/>
  <c r="O122" i="33" s="1"/>
  <c r="P122" i="33" s="1"/>
  <c r="N106" i="28"/>
  <c r="N122" i="33" s="1"/>
  <c r="K106" i="28"/>
  <c r="J106" i="28"/>
  <c r="J122" i="33" s="1"/>
  <c r="I106" i="28"/>
  <c r="I122" i="33" s="1"/>
  <c r="O105" i="28"/>
  <c r="O121" i="33" s="1"/>
  <c r="P121" i="33" s="1"/>
  <c r="N105" i="28"/>
  <c r="N121" i="33" s="1"/>
  <c r="K105" i="28"/>
  <c r="J105" i="28"/>
  <c r="J121" i="33" s="1"/>
  <c r="I105" i="28"/>
  <c r="I121" i="33" s="1"/>
  <c r="O104" i="28"/>
  <c r="N104" i="28"/>
  <c r="K104" i="28"/>
  <c r="J104" i="28"/>
  <c r="J120" i="33" s="1"/>
  <c r="I104" i="28"/>
  <c r="I120" i="33" s="1"/>
  <c r="O103" i="28"/>
  <c r="O119" i="33" s="1"/>
  <c r="P119" i="33" s="1"/>
  <c r="N103" i="28"/>
  <c r="N119" i="33" s="1"/>
  <c r="K103" i="28"/>
  <c r="J103" i="28"/>
  <c r="J119" i="33" s="1"/>
  <c r="I103" i="28"/>
  <c r="I119" i="33" s="1"/>
  <c r="O102" i="28"/>
  <c r="O118" i="33" s="1"/>
  <c r="P118" i="33" s="1"/>
  <c r="N102" i="28"/>
  <c r="N118" i="33" s="1"/>
  <c r="K102" i="28"/>
  <c r="J102" i="28"/>
  <c r="J118" i="33" s="1"/>
  <c r="I102" i="28"/>
  <c r="I118" i="33" s="1"/>
  <c r="O101" i="28"/>
  <c r="O117" i="33" s="1"/>
  <c r="P117" i="33" s="1"/>
  <c r="N101" i="28"/>
  <c r="N117" i="33" s="1"/>
  <c r="K101" i="28"/>
  <c r="J101" i="28"/>
  <c r="J117" i="33" s="1"/>
  <c r="I101" i="28"/>
  <c r="I117" i="33" s="1"/>
  <c r="O100" i="28"/>
  <c r="N100" i="28"/>
  <c r="K100" i="28"/>
  <c r="J100" i="28"/>
  <c r="J116" i="33" s="1"/>
  <c r="I100" i="28"/>
  <c r="I116" i="33" s="1"/>
  <c r="O99" i="28"/>
  <c r="O115" i="33" s="1"/>
  <c r="P115" i="33" s="1"/>
  <c r="N99" i="28"/>
  <c r="N115" i="33" s="1"/>
  <c r="K99" i="28"/>
  <c r="J99" i="28"/>
  <c r="J115" i="33" s="1"/>
  <c r="I99" i="28"/>
  <c r="I115" i="33" s="1"/>
  <c r="O98" i="28"/>
  <c r="O114" i="33" s="1"/>
  <c r="P114" i="33" s="1"/>
  <c r="N98" i="28"/>
  <c r="N114" i="33" s="1"/>
  <c r="K98" i="28"/>
  <c r="J98" i="28"/>
  <c r="J114" i="33" s="1"/>
  <c r="I98" i="28"/>
  <c r="I114" i="33" s="1"/>
  <c r="O97" i="28"/>
  <c r="O113" i="33" s="1"/>
  <c r="P113" i="33" s="1"/>
  <c r="N97" i="28"/>
  <c r="N113" i="33" s="1"/>
  <c r="K97" i="28"/>
  <c r="J97" i="28"/>
  <c r="J113" i="33" s="1"/>
  <c r="I97" i="28"/>
  <c r="I113" i="33" s="1"/>
  <c r="O96" i="28"/>
  <c r="N96" i="28"/>
  <c r="K96" i="28"/>
  <c r="J96" i="28"/>
  <c r="J112" i="33" s="1"/>
  <c r="I96" i="28"/>
  <c r="I112" i="33" s="1"/>
  <c r="O95" i="28"/>
  <c r="O111" i="33" s="1"/>
  <c r="P111" i="33" s="1"/>
  <c r="N95" i="28"/>
  <c r="N111" i="33" s="1"/>
  <c r="K95" i="28"/>
  <c r="J95" i="28"/>
  <c r="J111" i="33" s="1"/>
  <c r="I95" i="28"/>
  <c r="I111" i="33" s="1"/>
  <c r="O94" i="28"/>
  <c r="O110" i="33" s="1"/>
  <c r="P110" i="33" s="1"/>
  <c r="N94" i="28"/>
  <c r="N110" i="33" s="1"/>
  <c r="K94" i="28"/>
  <c r="J94" i="28"/>
  <c r="J110" i="33" s="1"/>
  <c r="I94" i="28"/>
  <c r="I110" i="33" s="1"/>
  <c r="O93" i="28"/>
  <c r="O109" i="33" s="1"/>
  <c r="P109" i="33" s="1"/>
  <c r="N93" i="28"/>
  <c r="N109" i="33" s="1"/>
  <c r="K93" i="28"/>
  <c r="J93" i="28"/>
  <c r="J109" i="33" s="1"/>
  <c r="I93" i="28"/>
  <c r="I109" i="33" s="1"/>
  <c r="O92" i="28"/>
  <c r="N92" i="28"/>
  <c r="K92" i="28"/>
  <c r="J92" i="28"/>
  <c r="J108" i="33" s="1"/>
  <c r="I92" i="28"/>
  <c r="I108" i="33" s="1"/>
  <c r="O91" i="28"/>
  <c r="O107" i="33" s="1"/>
  <c r="P107" i="33" s="1"/>
  <c r="N91" i="28"/>
  <c r="N107" i="33" s="1"/>
  <c r="K91" i="28"/>
  <c r="J91" i="28"/>
  <c r="J107" i="33" s="1"/>
  <c r="I91" i="28"/>
  <c r="I107" i="33" s="1"/>
  <c r="O90" i="28"/>
  <c r="O106" i="33" s="1"/>
  <c r="P106" i="33" s="1"/>
  <c r="N90" i="28"/>
  <c r="N106" i="33" s="1"/>
  <c r="K90" i="28"/>
  <c r="J90" i="28"/>
  <c r="J106" i="33" s="1"/>
  <c r="I90" i="28"/>
  <c r="I106" i="33" s="1"/>
  <c r="O89" i="28"/>
  <c r="O105" i="33" s="1"/>
  <c r="P105" i="33" s="1"/>
  <c r="N89" i="28"/>
  <c r="N105" i="33" s="1"/>
  <c r="K89" i="28"/>
  <c r="J89" i="28"/>
  <c r="J105" i="33" s="1"/>
  <c r="I89" i="28"/>
  <c r="I105" i="33" s="1"/>
  <c r="O88" i="28"/>
  <c r="N88" i="28"/>
  <c r="K88" i="28"/>
  <c r="J88" i="28"/>
  <c r="J104" i="33" s="1"/>
  <c r="I88" i="28"/>
  <c r="I104" i="33" s="1"/>
  <c r="O87" i="28"/>
  <c r="O103" i="33" s="1"/>
  <c r="P103" i="33" s="1"/>
  <c r="N87" i="28"/>
  <c r="N103" i="33" s="1"/>
  <c r="K87" i="28"/>
  <c r="J87" i="28"/>
  <c r="J103" i="33" s="1"/>
  <c r="I87" i="28"/>
  <c r="I103" i="33" s="1"/>
  <c r="O86" i="28"/>
  <c r="O102" i="33" s="1"/>
  <c r="P102" i="33" s="1"/>
  <c r="N86" i="28"/>
  <c r="N102" i="33" s="1"/>
  <c r="K86" i="28"/>
  <c r="J86" i="28"/>
  <c r="J102" i="33" s="1"/>
  <c r="I86" i="28"/>
  <c r="I102" i="33" s="1"/>
  <c r="O85" i="28"/>
  <c r="O101" i="33" s="1"/>
  <c r="P101" i="33" s="1"/>
  <c r="N85" i="28"/>
  <c r="N101" i="33" s="1"/>
  <c r="K85" i="28"/>
  <c r="J85" i="28"/>
  <c r="J101" i="33" s="1"/>
  <c r="I85" i="28"/>
  <c r="I101" i="33" s="1"/>
  <c r="O84" i="28"/>
  <c r="N84" i="28"/>
  <c r="K84" i="28"/>
  <c r="J84" i="28"/>
  <c r="J100" i="33" s="1"/>
  <c r="I84" i="28"/>
  <c r="I100" i="33" s="1"/>
  <c r="O83" i="28"/>
  <c r="O99" i="33" s="1"/>
  <c r="P99" i="33" s="1"/>
  <c r="N83" i="28"/>
  <c r="N99" i="33" s="1"/>
  <c r="K83" i="28"/>
  <c r="J83" i="28"/>
  <c r="J99" i="33" s="1"/>
  <c r="I83" i="28"/>
  <c r="I99" i="33" s="1"/>
  <c r="O82" i="28"/>
  <c r="O98" i="33" s="1"/>
  <c r="P98" i="33" s="1"/>
  <c r="N82" i="28"/>
  <c r="N98" i="33" s="1"/>
  <c r="K82" i="28"/>
  <c r="J82" i="28"/>
  <c r="J98" i="33" s="1"/>
  <c r="I82" i="28"/>
  <c r="I98" i="33" s="1"/>
  <c r="O81" i="28"/>
  <c r="O97" i="33" s="1"/>
  <c r="P97" i="33" s="1"/>
  <c r="N81" i="28"/>
  <c r="N97" i="33" s="1"/>
  <c r="K81" i="28"/>
  <c r="J81" i="28"/>
  <c r="J97" i="33" s="1"/>
  <c r="I81" i="28"/>
  <c r="I97" i="33" s="1"/>
  <c r="O80" i="28"/>
  <c r="N80" i="28"/>
  <c r="K80" i="28"/>
  <c r="J80" i="28"/>
  <c r="J96" i="33" s="1"/>
  <c r="I80" i="28"/>
  <c r="I96" i="33" s="1"/>
  <c r="O79" i="28"/>
  <c r="O95" i="33" s="1"/>
  <c r="P95" i="33" s="1"/>
  <c r="N79" i="28"/>
  <c r="N95" i="33" s="1"/>
  <c r="K79" i="28"/>
  <c r="J79" i="28"/>
  <c r="J95" i="33" s="1"/>
  <c r="I79" i="28"/>
  <c r="I95" i="33" s="1"/>
  <c r="O78" i="28"/>
  <c r="O94" i="33" s="1"/>
  <c r="P94" i="33" s="1"/>
  <c r="N78" i="28"/>
  <c r="N94" i="33" s="1"/>
  <c r="K78" i="28"/>
  <c r="J78" i="28"/>
  <c r="J94" i="33" s="1"/>
  <c r="I78" i="28"/>
  <c r="I94" i="33" s="1"/>
  <c r="O77" i="28"/>
  <c r="O93" i="33" s="1"/>
  <c r="P93" i="33" s="1"/>
  <c r="N77" i="28"/>
  <c r="N93" i="33" s="1"/>
  <c r="K77" i="28"/>
  <c r="J77" i="28"/>
  <c r="J93" i="33" s="1"/>
  <c r="I77" i="28"/>
  <c r="I93" i="33" s="1"/>
  <c r="O76" i="28"/>
  <c r="N76" i="28"/>
  <c r="K76" i="28"/>
  <c r="J76" i="28"/>
  <c r="J92" i="33" s="1"/>
  <c r="I76" i="28"/>
  <c r="I92" i="33" s="1"/>
  <c r="O75" i="28"/>
  <c r="O91" i="33" s="1"/>
  <c r="P91" i="33" s="1"/>
  <c r="N75" i="28"/>
  <c r="N91" i="33" s="1"/>
  <c r="K75" i="28"/>
  <c r="J75" i="28"/>
  <c r="J91" i="33" s="1"/>
  <c r="I75" i="28"/>
  <c r="I91" i="33" s="1"/>
  <c r="O74" i="28"/>
  <c r="O90" i="33" s="1"/>
  <c r="P90" i="33" s="1"/>
  <c r="N74" i="28"/>
  <c r="N90" i="33" s="1"/>
  <c r="K74" i="28"/>
  <c r="J74" i="28"/>
  <c r="J90" i="33" s="1"/>
  <c r="I74" i="28"/>
  <c r="I90" i="33" s="1"/>
  <c r="O73" i="28"/>
  <c r="O89" i="33" s="1"/>
  <c r="P89" i="33" s="1"/>
  <c r="N73" i="28"/>
  <c r="N89" i="33" s="1"/>
  <c r="K73" i="28"/>
  <c r="J73" i="28"/>
  <c r="J89" i="33" s="1"/>
  <c r="I73" i="28"/>
  <c r="I89" i="33" s="1"/>
  <c r="O72" i="28"/>
  <c r="N72" i="28"/>
  <c r="K72" i="28"/>
  <c r="J72" i="28"/>
  <c r="J88" i="33" s="1"/>
  <c r="I72" i="28"/>
  <c r="I88" i="33" s="1"/>
  <c r="O71" i="28"/>
  <c r="O87" i="33" s="1"/>
  <c r="P87" i="33" s="1"/>
  <c r="N71" i="28"/>
  <c r="N87" i="33" s="1"/>
  <c r="K71" i="28"/>
  <c r="J71" i="28"/>
  <c r="J87" i="33" s="1"/>
  <c r="I71" i="28"/>
  <c r="I87" i="33" s="1"/>
  <c r="O70" i="28"/>
  <c r="O86" i="33" s="1"/>
  <c r="P86" i="33" s="1"/>
  <c r="N70" i="28"/>
  <c r="N86" i="33" s="1"/>
  <c r="K70" i="28"/>
  <c r="J70" i="28"/>
  <c r="J86" i="33" s="1"/>
  <c r="I70" i="28"/>
  <c r="I86" i="33" s="1"/>
  <c r="O69" i="28"/>
  <c r="O85" i="33" s="1"/>
  <c r="P85" i="33" s="1"/>
  <c r="N69" i="28"/>
  <c r="N85" i="33" s="1"/>
  <c r="K69" i="28"/>
  <c r="J69" i="28"/>
  <c r="J85" i="33" s="1"/>
  <c r="I69" i="28"/>
  <c r="I85" i="33" s="1"/>
  <c r="O68" i="28"/>
  <c r="N68" i="28"/>
  <c r="K68" i="28"/>
  <c r="J68" i="28"/>
  <c r="J84" i="33" s="1"/>
  <c r="I68" i="28"/>
  <c r="I84" i="33" s="1"/>
  <c r="O67" i="28"/>
  <c r="O83" i="33" s="1"/>
  <c r="P83" i="33" s="1"/>
  <c r="N67" i="28"/>
  <c r="N83" i="33" s="1"/>
  <c r="K67" i="28"/>
  <c r="J67" i="28"/>
  <c r="J83" i="33" s="1"/>
  <c r="I67" i="28"/>
  <c r="I83" i="33" s="1"/>
  <c r="O66" i="28"/>
  <c r="O82" i="33" s="1"/>
  <c r="P82" i="33" s="1"/>
  <c r="N66" i="28"/>
  <c r="N82" i="33" s="1"/>
  <c r="K66" i="28"/>
  <c r="J66" i="28"/>
  <c r="J82" i="33" s="1"/>
  <c r="I66" i="28"/>
  <c r="I82" i="33" s="1"/>
  <c r="O65" i="28"/>
  <c r="O81" i="33" s="1"/>
  <c r="P81" i="33" s="1"/>
  <c r="N65" i="28"/>
  <c r="N81" i="33" s="1"/>
  <c r="K65" i="28"/>
  <c r="J65" i="28"/>
  <c r="J81" i="33" s="1"/>
  <c r="I65" i="28"/>
  <c r="I81" i="33" s="1"/>
  <c r="O64" i="28"/>
  <c r="N64" i="28"/>
  <c r="K64" i="28"/>
  <c r="J64" i="28"/>
  <c r="J80" i="33" s="1"/>
  <c r="I64" i="28"/>
  <c r="I80" i="33" s="1"/>
  <c r="O63" i="28"/>
  <c r="O79" i="33" s="1"/>
  <c r="P79" i="33" s="1"/>
  <c r="N63" i="28"/>
  <c r="N79" i="33" s="1"/>
  <c r="K63" i="28"/>
  <c r="J63" i="28"/>
  <c r="J79" i="33" s="1"/>
  <c r="I63" i="28"/>
  <c r="I79" i="33" s="1"/>
  <c r="O62" i="28"/>
  <c r="O78" i="33" s="1"/>
  <c r="P78" i="33" s="1"/>
  <c r="N62" i="28"/>
  <c r="N78" i="33" s="1"/>
  <c r="K62" i="28"/>
  <c r="J62" i="28"/>
  <c r="J78" i="33" s="1"/>
  <c r="I62" i="28"/>
  <c r="I78" i="33" s="1"/>
  <c r="O61" i="28"/>
  <c r="O77" i="33" s="1"/>
  <c r="P77" i="33" s="1"/>
  <c r="N61" i="28"/>
  <c r="N77" i="33" s="1"/>
  <c r="K61" i="28"/>
  <c r="J61" i="28"/>
  <c r="J77" i="33" s="1"/>
  <c r="I61" i="28"/>
  <c r="I77" i="33" s="1"/>
  <c r="O60" i="28"/>
  <c r="N60" i="28"/>
  <c r="K60" i="28"/>
  <c r="J60" i="28"/>
  <c r="J76" i="33" s="1"/>
  <c r="I60" i="28"/>
  <c r="I76" i="33" s="1"/>
  <c r="O59" i="28"/>
  <c r="O75" i="33" s="1"/>
  <c r="P75" i="33" s="1"/>
  <c r="N59" i="28"/>
  <c r="N75" i="33" s="1"/>
  <c r="K59" i="28"/>
  <c r="J59" i="28"/>
  <c r="J75" i="33" s="1"/>
  <c r="I59" i="28"/>
  <c r="I75" i="33" s="1"/>
  <c r="O58" i="28"/>
  <c r="O74" i="33" s="1"/>
  <c r="P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P71" i="33" s="1"/>
  <c r="N55" i="28"/>
  <c r="N71" i="33" s="1"/>
  <c r="K55" i="28"/>
  <c r="J55" i="28"/>
  <c r="J71" i="33" s="1"/>
  <c r="I55" i="28"/>
  <c r="I71" i="33" s="1"/>
  <c r="O54" i="28"/>
  <c r="O70" i="33" s="1"/>
  <c r="P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P67" i="33" s="1"/>
  <c r="N51" i="28"/>
  <c r="N67" i="33" s="1"/>
  <c r="K51" i="28"/>
  <c r="J51" i="28"/>
  <c r="J67" i="33" s="1"/>
  <c r="I51" i="28"/>
  <c r="I67" i="33" s="1"/>
  <c r="O50" i="28"/>
  <c r="O66" i="33" s="1"/>
  <c r="P66" i="33" s="1"/>
  <c r="N50" i="28"/>
  <c r="K50" i="28"/>
  <c r="J50" i="28"/>
  <c r="J66" i="33" s="1"/>
  <c r="I50" i="28"/>
  <c r="I66" i="33" s="1"/>
  <c r="O49" i="28"/>
  <c r="O65" i="33" s="1"/>
  <c r="P65" i="33" s="1"/>
  <c r="N49" i="28"/>
  <c r="N65" i="33" s="1"/>
  <c r="K49" i="28"/>
  <c r="J49" i="28"/>
  <c r="J65" i="33" s="1"/>
  <c r="I49" i="28"/>
  <c r="I65" i="33" s="1"/>
  <c r="O48" i="28"/>
  <c r="N48" i="28"/>
  <c r="K48" i="28"/>
  <c r="J48" i="28"/>
  <c r="J64" i="33" s="1"/>
  <c r="I48" i="28"/>
  <c r="I64" i="33" s="1"/>
  <c r="O47" i="28"/>
  <c r="O63" i="33" s="1"/>
  <c r="P63" i="33" s="1"/>
  <c r="N47" i="28"/>
  <c r="N63" i="33" s="1"/>
  <c r="K47" i="28"/>
  <c r="J47" i="28"/>
  <c r="J63" i="33" s="1"/>
  <c r="I47" i="28"/>
  <c r="I63" i="33" s="1"/>
  <c r="O46" i="28"/>
  <c r="O62" i="33" s="1"/>
  <c r="P62" i="33" s="1"/>
  <c r="N46" i="28"/>
  <c r="N62" i="33" s="1"/>
  <c r="K46" i="28"/>
  <c r="J46" i="28"/>
  <c r="J62" i="33" s="1"/>
  <c r="I46" i="28"/>
  <c r="I62" i="33" s="1"/>
  <c r="O45" i="28"/>
  <c r="O61" i="33" s="1"/>
  <c r="P61" i="33" s="1"/>
  <c r="N45" i="28"/>
  <c r="N61" i="33" s="1"/>
  <c r="K45" i="28"/>
  <c r="J45" i="28"/>
  <c r="J61" i="33" s="1"/>
  <c r="I45" i="28"/>
  <c r="I61" i="33" s="1"/>
  <c r="O44" i="28"/>
  <c r="N44" i="28"/>
  <c r="K44" i="28"/>
  <c r="J44" i="28"/>
  <c r="J60" i="33" s="1"/>
  <c r="I44" i="28"/>
  <c r="I60" i="33" s="1"/>
  <c r="O43" i="28"/>
  <c r="O59" i="33" s="1"/>
  <c r="P59" i="33" s="1"/>
  <c r="N43" i="28"/>
  <c r="N59" i="33" s="1"/>
  <c r="K43" i="28"/>
  <c r="J43" i="28"/>
  <c r="J59" i="33" s="1"/>
  <c r="I43" i="28"/>
  <c r="I59" i="33" s="1"/>
  <c r="O42" i="28"/>
  <c r="O58" i="33" s="1"/>
  <c r="P58" i="33" s="1"/>
  <c r="N42" i="28"/>
  <c r="N58" i="33" s="1"/>
  <c r="K42" i="28"/>
  <c r="J42" i="28"/>
  <c r="J58" i="33" s="1"/>
  <c r="I42" i="28"/>
  <c r="I58" i="33" s="1"/>
  <c r="O41" i="28"/>
  <c r="O57" i="33" s="1"/>
  <c r="P57" i="33" s="1"/>
  <c r="N41" i="28"/>
  <c r="N57" i="33" s="1"/>
  <c r="K41" i="28"/>
  <c r="J41" i="28"/>
  <c r="J57" i="33" s="1"/>
  <c r="I41" i="28"/>
  <c r="I57" i="33" s="1"/>
  <c r="O40" i="28"/>
  <c r="N40" i="28"/>
  <c r="N56" i="33" s="1"/>
  <c r="K40" i="28"/>
  <c r="J40" i="28"/>
  <c r="J56" i="33" s="1"/>
  <c r="I40" i="28"/>
  <c r="I56" i="33" s="1"/>
  <c r="O39" i="28"/>
  <c r="O55" i="33" s="1"/>
  <c r="P55" i="33" s="1"/>
  <c r="N39" i="28"/>
  <c r="N55" i="33" s="1"/>
  <c r="K39" i="28"/>
  <c r="J39" i="28"/>
  <c r="J55" i="33" s="1"/>
  <c r="I39" i="28"/>
  <c r="I55" i="33" s="1"/>
  <c r="O38" i="28"/>
  <c r="O54" i="33" s="1"/>
  <c r="P54" i="33" s="1"/>
  <c r="N38" i="28"/>
  <c r="K38" i="28"/>
  <c r="J38" i="28"/>
  <c r="J54" i="33" s="1"/>
  <c r="I38" i="28"/>
  <c r="I54" i="33" s="1"/>
  <c r="O37" i="28"/>
  <c r="O53" i="33" s="1"/>
  <c r="P53" i="33" s="1"/>
  <c r="N37" i="28"/>
  <c r="N53" i="33" s="1"/>
  <c r="K37" i="28"/>
  <c r="J37" i="28"/>
  <c r="J53" i="33" s="1"/>
  <c r="I37" i="28"/>
  <c r="I53" i="33" s="1"/>
  <c r="O36" i="28"/>
  <c r="N36" i="28"/>
  <c r="K36" i="28"/>
  <c r="J36" i="28"/>
  <c r="J52" i="33" s="1"/>
  <c r="I36" i="28"/>
  <c r="I52" i="33" s="1"/>
  <c r="O35" i="28"/>
  <c r="O51" i="33" s="1"/>
  <c r="P51" i="33" s="1"/>
  <c r="N35" i="28"/>
  <c r="N51" i="33" s="1"/>
  <c r="K35" i="28"/>
  <c r="J35" i="28"/>
  <c r="J51" i="33" s="1"/>
  <c r="I35" i="28"/>
  <c r="I51" i="33" s="1"/>
  <c r="O34" i="28"/>
  <c r="O50" i="33" s="1"/>
  <c r="P50" i="33" s="1"/>
  <c r="N34" i="28"/>
  <c r="K34" i="28"/>
  <c r="J34" i="28"/>
  <c r="J50" i="33" s="1"/>
  <c r="I34" i="28"/>
  <c r="I50" i="33" s="1"/>
  <c r="O33" i="28"/>
  <c r="O49" i="33" s="1"/>
  <c r="P49" i="33" s="1"/>
  <c r="N33" i="28"/>
  <c r="N49" i="33" s="1"/>
  <c r="K33" i="28"/>
  <c r="J33" i="28"/>
  <c r="J49" i="33" s="1"/>
  <c r="I33" i="28"/>
  <c r="I49" i="33" s="1"/>
  <c r="O32" i="28"/>
  <c r="N32" i="28"/>
  <c r="K32" i="28"/>
  <c r="J32" i="28"/>
  <c r="J48" i="33" s="1"/>
  <c r="I32" i="28"/>
  <c r="I48" i="33" s="1"/>
  <c r="O31" i="28"/>
  <c r="O47" i="33" s="1"/>
  <c r="P47" i="33" s="1"/>
  <c r="N31" i="28"/>
  <c r="N47" i="33" s="1"/>
  <c r="K31" i="28"/>
  <c r="J31" i="28"/>
  <c r="J47" i="33" s="1"/>
  <c r="I31" i="28"/>
  <c r="I47" i="33" s="1"/>
  <c r="O30" i="28"/>
  <c r="O46" i="33" s="1"/>
  <c r="P46" i="33" s="1"/>
  <c r="N30" i="28"/>
  <c r="N46" i="33" s="1"/>
  <c r="K30" i="28"/>
  <c r="J30" i="28"/>
  <c r="J46" i="33" s="1"/>
  <c r="I30" i="28"/>
  <c r="I46" i="33" s="1"/>
  <c r="O29" i="28"/>
  <c r="O45" i="33" s="1"/>
  <c r="P45" i="33" s="1"/>
  <c r="N29" i="28"/>
  <c r="N45" i="33" s="1"/>
  <c r="K29" i="28"/>
  <c r="J29" i="28"/>
  <c r="J45" i="33" s="1"/>
  <c r="I29" i="28"/>
  <c r="I45" i="33" s="1"/>
  <c r="O28" i="28"/>
  <c r="N28" i="28"/>
  <c r="K28" i="28"/>
  <c r="J28" i="28"/>
  <c r="J44" i="33" s="1"/>
  <c r="I28" i="28"/>
  <c r="I44" i="33" s="1"/>
  <c r="O27" i="28"/>
  <c r="O43" i="33" s="1"/>
  <c r="P43" i="33" s="1"/>
  <c r="N27" i="28"/>
  <c r="N43" i="33" s="1"/>
  <c r="K27" i="28"/>
  <c r="J27" i="28"/>
  <c r="J43" i="33" s="1"/>
  <c r="I27" i="28"/>
  <c r="I43" i="33" s="1"/>
  <c r="O26" i="28"/>
  <c r="O42" i="33" s="1"/>
  <c r="P42" i="33" s="1"/>
  <c r="N26" i="28"/>
  <c r="N42" i="33" s="1"/>
  <c r="K26" i="28"/>
  <c r="J26" i="28"/>
  <c r="J42" i="33" s="1"/>
  <c r="I26" i="28"/>
  <c r="I42" i="33" s="1"/>
  <c r="O25" i="28"/>
  <c r="O41" i="33" s="1"/>
  <c r="P41" i="33" s="1"/>
  <c r="N25" i="28"/>
  <c r="N41" i="33" s="1"/>
  <c r="K25" i="28"/>
  <c r="J25" i="28"/>
  <c r="J41" i="33" s="1"/>
  <c r="I25" i="28"/>
  <c r="I41" i="33" s="1"/>
  <c r="O24" i="28"/>
  <c r="N24" i="28"/>
  <c r="K24" i="28"/>
  <c r="J24" i="28"/>
  <c r="J40" i="33" s="1"/>
  <c r="I24" i="28"/>
  <c r="I40" i="33" s="1"/>
  <c r="O23" i="28"/>
  <c r="O39" i="33" s="1"/>
  <c r="P39" i="33" s="1"/>
  <c r="N23" i="28"/>
  <c r="N39" i="33" s="1"/>
  <c r="K23" i="28"/>
  <c r="J23" i="28"/>
  <c r="J39" i="33" s="1"/>
  <c r="I23" i="28"/>
  <c r="I39" i="33" s="1"/>
  <c r="O22" i="28"/>
  <c r="O38" i="33" s="1"/>
  <c r="P38" i="33" s="1"/>
  <c r="N22" i="28"/>
  <c r="K22" i="28"/>
  <c r="J22" i="28"/>
  <c r="J38" i="33" s="1"/>
  <c r="I22" i="28"/>
  <c r="I38" i="33" s="1"/>
  <c r="O21" i="28"/>
  <c r="O37" i="33" s="1"/>
  <c r="P37" i="33" s="1"/>
  <c r="N21" i="28"/>
  <c r="N37" i="33" s="1"/>
  <c r="K21" i="28"/>
  <c r="J21" i="28"/>
  <c r="J37" i="33" s="1"/>
  <c r="I21" i="28"/>
  <c r="I37" i="33" s="1"/>
  <c r="O20" i="28"/>
  <c r="N20" i="28"/>
  <c r="N36" i="33" s="1"/>
  <c r="K20" i="28"/>
  <c r="J20" i="28"/>
  <c r="J36" i="33" s="1"/>
  <c r="I20" i="28"/>
  <c r="I36" i="33" s="1"/>
  <c r="O19" i="28"/>
  <c r="O35" i="33" s="1"/>
  <c r="P35" i="33" s="1"/>
  <c r="N19" i="28"/>
  <c r="N35" i="33" s="1"/>
  <c r="K19" i="28"/>
  <c r="J19" i="28"/>
  <c r="J35" i="33" s="1"/>
  <c r="I19" i="28"/>
  <c r="I35" i="33" s="1"/>
  <c r="O18" i="28"/>
  <c r="O34" i="33" s="1"/>
  <c r="P34" i="33" s="1"/>
  <c r="N18" i="28"/>
  <c r="K18" i="28"/>
  <c r="J18" i="28"/>
  <c r="J34" i="33" s="1"/>
  <c r="I18" i="28"/>
  <c r="I34" i="33" s="1"/>
  <c r="O17" i="28"/>
  <c r="O33" i="33" s="1"/>
  <c r="P33" i="33" s="1"/>
  <c r="N17" i="28"/>
  <c r="N33" i="33" s="1"/>
  <c r="K17" i="28"/>
  <c r="J17" i="28"/>
  <c r="J33" i="33" s="1"/>
  <c r="I17" i="28"/>
  <c r="I33" i="33" s="1"/>
  <c r="O16" i="28"/>
  <c r="N16" i="28"/>
  <c r="K16" i="28"/>
  <c r="J16" i="28"/>
  <c r="J32" i="33" s="1"/>
  <c r="I16" i="28"/>
  <c r="I32" i="33" s="1"/>
  <c r="O15" i="28"/>
  <c r="O31" i="33" s="1"/>
  <c r="P31" i="33" s="1"/>
  <c r="N15" i="28"/>
  <c r="N31" i="33" s="1"/>
  <c r="K15" i="28"/>
  <c r="J15" i="28"/>
  <c r="J31" i="33" s="1"/>
  <c r="I15" i="28"/>
  <c r="I31" i="33" s="1"/>
  <c r="O13" i="28"/>
  <c r="O29" i="33" s="1"/>
  <c r="P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P44" i="33" s="1"/>
  <c r="O48" i="33"/>
  <c r="P48" i="33" s="1"/>
  <c r="O52" i="33"/>
  <c r="P52" i="33" s="1"/>
  <c r="O56" i="33"/>
  <c r="P56" i="33" s="1"/>
  <c r="O60" i="33"/>
  <c r="P60" i="33" s="1"/>
  <c r="O64" i="33"/>
  <c r="P64" i="33" s="1"/>
  <c r="O32" i="33"/>
  <c r="P32" i="33" s="1"/>
  <c r="N34" i="33"/>
  <c r="O40" i="33"/>
  <c r="P40" i="33" s="1"/>
  <c r="N52" i="33"/>
  <c r="O36" i="33"/>
  <c r="P36" i="33" s="1"/>
  <c r="N38" i="33"/>
  <c r="N44" i="33"/>
  <c r="N54" i="33"/>
  <c r="N60" i="33"/>
  <c r="N64" i="33"/>
  <c r="N66" i="33"/>
  <c r="N32" i="33"/>
  <c r="N40" i="33"/>
  <c r="N48" i="33"/>
  <c r="N120" i="33"/>
  <c r="N124" i="33"/>
  <c r="O73" i="33"/>
  <c r="P73" i="33" s="1"/>
  <c r="O108" i="33"/>
  <c r="P108" i="33" s="1"/>
  <c r="O69" i="33"/>
  <c r="P69" i="33" s="1"/>
  <c r="N80" i="33"/>
  <c r="N84" i="33"/>
  <c r="N88" i="33"/>
  <c r="N92" i="33"/>
  <c r="N96" i="33"/>
  <c r="N100" i="33"/>
  <c r="N104" i="33"/>
  <c r="N108" i="33"/>
  <c r="N112" i="33"/>
  <c r="N116" i="33"/>
  <c r="O68" i="33"/>
  <c r="P68" i="33" s="1"/>
  <c r="O72" i="33"/>
  <c r="P72" i="33" s="1"/>
  <c r="O76" i="33"/>
  <c r="P76" i="33" s="1"/>
  <c r="O80" i="33"/>
  <c r="P80" i="33" s="1"/>
  <c r="O84" i="33"/>
  <c r="P84" i="33" s="1"/>
  <c r="O88" i="33"/>
  <c r="P88" i="33" s="1"/>
  <c r="O92" i="33"/>
  <c r="P92" i="33" s="1"/>
  <c r="O96" i="33"/>
  <c r="P96" i="33" s="1"/>
  <c r="O100" i="33"/>
  <c r="P100" i="33" s="1"/>
  <c r="O104" i="33"/>
  <c r="P104" i="33" s="1"/>
  <c r="O112" i="33"/>
  <c r="P112" i="33" s="1"/>
  <c r="O120" i="33"/>
  <c r="P120" i="33" s="1"/>
  <c r="N72" i="33"/>
  <c r="O116" i="33"/>
  <c r="P116" i="33" s="1"/>
  <c r="N76" i="33"/>
  <c r="O124" i="33"/>
  <c r="P124" i="33" s="1"/>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R76" i="26" s="1"/>
  <c r="K137" i="26"/>
  <c r="T132" i="26"/>
  <c r="K131" i="26"/>
  <c r="K130" i="26"/>
  <c r="K126" i="26"/>
  <c r="X125" i="26"/>
  <c r="X126" i="26" s="1"/>
  <c r="X127" i="26" s="1"/>
  <c r="X121" i="26"/>
  <c r="X122" i="26" s="1"/>
  <c r="X123" i="26" s="1"/>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Y125" i="33"/>
  <c r="AY124" i="33"/>
  <c r="AY123" i="33"/>
  <c r="AY122" i="33"/>
  <c r="AY121" i="33"/>
  <c r="AY120" i="33"/>
  <c r="AY119" i="33"/>
  <c r="AY118" i="33"/>
  <c r="AY117" i="33"/>
  <c r="AY116" i="33"/>
  <c r="AY115" i="33"/>
  <c r="AY114" i="33"/>
  <c r="AY113" i="33"/>
  <c r="AY112" i="33"/>
  <c r="AY111" i="33"/>
  <c r="AY110" i="33"/>
  <c r="AY109" i="33"/>
  <c r="AY108" i="33"/>
  <c r="AY107" i="33"/>
  <c r="AY106" i="33"/>
  <c r="AY105" i="33"/>
  <c r="AY104" i="33"/>
  <c r="AY103" i="33"/>
  <c r="AY102" i="33"/>
  <c r="AY101" i="33"/>
  <c r="AY100" i="33"/>
  <c r="AY99" i="33"/>
  <c r="AY98" i="33"/>
  <c r="AY97" i="33"/>
  <c r="AY96" i="33"/>
  <c r="AY95" i="33"/>
  <c r="AY94" i="33"/>
  <c r="AY93" i="33"/>
  <c r="AY92" i="33"/>
  <c r="AY91" i="33"/>
  <c r="AY90" i="33"/>
  <c r="AY89" i="33"/>
  <c r="AY88" i="33"/>
  <c r="AY87" i="33"/>
  <c r="AY86" i="33"/>
  <c r="AY85" i="33"/>
  <c r="AY84" i="33"/>
  <c r="AY83" i="33"/>
  <c r="AY82" i="33"/>
  <c r="AY81" i="33"/>
  <c r="AY80" i="33"/>
  <c r="AY79" i="33"/>
  <c r="AY78" i="33"/>
  <c r="AY77" i="33"/>
  <c r="AY76" i="33"/>
  <c r="AY75" i="33"/>
  <c r="AY74" i="33"/>
  <c r="AY73" i="33"/>
  <c r="AY72" i="33"/>
  <c r="AY71" i="33"/>
  <c r="AY70" i="33"/>
  <c r="AY69" i="33"/>
  <c r="AY68" i="33"/>
  <c r="AY67" i="33"/>
  <c r="AY66" i="33"/>
  <c r="AY65" i="33"/>
  <c r="AY64" i="33"/>
  <c r="AY63" i="33"/>
  <c r="AY62" i="33"/>
  <c r="AY61" i="33"/>
  <c r="AY60" i="33"/>
  <c r="AY59" i="33"/>
  <c r="AY58" i="33"/>
  <c r="AY57" i="33"/>
  <c r="AY56" i="33"/>
  <c r="AY55" i="33"/>
  <c r="AY54" i="33"/>
  <c r="AY53" i="33"/>
  <c r="AY52" i="33"/>
  <c r="AY51" i="33"/>
  <c r="AY50" i="33"/>
  <c r="AY49" i="33"/>
  <c r="AY48" i="33"/>
  <c r="AY47" i="33"/>
  <c r="AY46" i="33"/>
  <c r="AY45" i="33"/>
  <c r="AY44" i="33"/>
  <c r="AY43" i="33"/>
  <c r="AY42" i="33"/>
  <c r="AY41" i="33"/>
  <c r="AY40" i="33"/>
  <c r="AY39" i="33"/>
  <c r="AY38" i="33"/>
  <c r="AY37" i="33"/>
  <c r="AY36" i="33"/>
  <c r="AY35" i="33"/>
  <c r="AY34" i="33"/>
  <c r="AY33" i="33"/>
  <c r="AY32" i="33"/>
  <c r="AY31" i="33"/>
  <c r="AY29" i="33"/>
  <c r="AY28" i="33"/>
  <c r="AU214" i="28"/>
  <c r="BD2" i="28"/>
  <c r="G17" i="7"/>
  <c r="G19" i="33" s="1"/>
  <c r="G16" i="7"/>
  <c r="G18" i="33" s="1"/>
  <c r="G15" i="7"/>
  <c r="G17" i="33" s="1"/>
  <c r="G14" i="7"/>
  <c r="G12" i="7"/>
  <c r="G14" i="33" s="1"/>
  <c r="G11" i="7"/>
  <c r="G13" i="33" s="1"/>
  <c r="G10" i="7"/>
  <c r="G12" i="33" s="1"/>
  <c r="AT214" i="28"/>
  <c r="I2" i="39"/>
  <c r="S8" i="20"/>
  <c r="S55" i="20"/>
  <c r="M2" i="31"/>
  <c r="G2" i="38"/>
  <c r="S23" i="20"/>
  <c r="S100"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BA29" i="33" s="1"/>
  <c r="AS29" i="33"/>
  <c r="BA15" i="28"/>
  <c r="BA31" i="33" s="1"/>
  <c r="AS31" i="33"/>
  <c r="BA17" i="28"/>
  <c r="BA33" i="33" s="1"/>
  <c r="AS33" i="33"/>
  <c r="BA19" i="28"/>
  <c r="BA35" i="33" s="1"/>
  <c r="AS35" i="33"/>
  <c r="BA21" i="28"/>
  <c r="BA37" i="33" s="1"/>
  <c r="AS37" i="33"/>
  <c r="BA23" i="28"/>
  <c r="BA39" i="33" s="1"/>
  <c r="AS39" i="33"/>
  <c r="BA25" i="28"/>
  <c r="BA41" i="33" s="1"/>
  <c r="AS41" i="33"/>
  <c r="BA27" i="28"/>
  <c r="BA43" i="33" s="1"/>
  <c r="AS43" i="33"/>
  <c r="BA29" i="28"/>
  <c r="BA45" i="33" s="1"/>
  <c r="AS45" i="33"/>
  <c r="BA31" i="28"/>
  <c r="BA47" i="33" s="1"/>
  <c r="AS47" i="33"/>
  <c r="BA33" i="28"/>
  <c r="BA49" i="33" s="1"/>
  <c r="AS49" i="33"/>
  <c r="BA35" i="28"/>
  <c r="BA51" i="33" s="1"/>
  <c r="AS51" i="33"/>
  <c r="BA37" i="28"/>
  <c r="BA53" i="33" s="1"/>
  <c r="AS53" i="33"/>
  <c r="BA39" i="28"/>
  <c r="BA55" i="33" s="1"/>
  <c r="AS55" i="33"/>
  <c r="BA41" i="28"/>
  <c r="BA57" i="33" s="1"/>
  <c r="AS57" i="33"/>
  <c r="BA43" i="28"/>
  <c r="BA59" i="33" s="1"/>
  <c r="AS59" i="33"/>
  <c r="BA45" i="28"/>
  <c r="BA61" i="33" s="1"/>
  <c r="AS61" i="33"/>
  <c r="BA47" i="28"/>
  <c r="BA63" i="33" s="1"/>
  <c r="AS63" i="33"/>
  <c r="BA49" i="28"/>
  <c r="BA65" i="33" s="1"/>
  <c r="AS65" i="33"/>
  <c r="BA51" i="28"/>
  <c r="BA67" i="33" s="1"/>
  <c r="AS67" i="33"/>
  <c r="BA53" i="28"/>
  <c r="BA69" i="33" s="1"/>
  <c r="AS69" i="33"/>
  <c r="BA55" i="28"/>
  <c r="BA71" i="33" s="1"/>
  <c r="AS71" i="33"/>
  <c r="BA57" i="28"/>
  <c r="BA73" i="33" s="1"/>
  <c r="AS73" i="33"/>
  <c r="BA59" i="28"/>
  <c r="BA75" i="33" s="1"/>
  <c r="AS75" i="33"/>
  <c r="BA61" i="28"/>
  <c r="BA77" i="33" s="1"/>
  <c r="AS77" i="33"/>
  <c r="BA63" i="28"/>
  <c r="BA79" i="33" s="1"/>
  <c r="AS79" i="33"/>
  <c r="BA65" i="28"/>
  <c r="BA81" i="33" s="1"/>
  <c r="AS81" i="33"/>
  <c r="BA67" i="28"/>
  <c r="BA83" i="33" s="1"/>
  <c r="AS83" i="33"/>
  <c r="BA69" i="28"/>
  <c r="BA85" i="33" s="1"/>
  <c r="AS85" i="33"/>
  <c r="BA71" i="28"/>
  <c r="BA87" i="33" s="1"/>
  <c r="AS87" i="33"/>
  <c r="BA73" i="28"/>
  <c r="BA89" i="33" s="1"/>
  <c r="AS89" i="33"/>
  <c r="BA75" i="28"/>
  <c r="BA91" i="33" s="1"/>
  <c r="AS91" i="33"/>
  <c r="BA77" i="28"/>
  <c r="BA93" i="33" s="1"/>
  <c r="AS93" i="33"/>
  <c r="BA79" i="28"/>
  <c r="BA95" i="33" s="1"/>
  <c r="AS95" i="33"/>
  <c r="BA81" i="28"/>
  <c r="BA97" i="33" s="1"/>
  <c r="AS97" i="33"/>
  <c r="BA83" i="28"/>
  <c r="BA99" i="33" s="1"/>
  <c r="AS99" i="33"/>
  <c r="BA85" i="28"/>
  <c r="BA101" i="33" s="1"/>
  <c r="AS101" i="33"/>
  <c r="BA87" i="28"/>
  <c r="BA103" i="33" s="1"/>
  <c r="AS103" i="33"/>
  <c r="BA89" i="28"/>
  <c r="BA105" i="33" s="1"/>
  <c r="AS105" i="33"/>
  <c r="BA91" i="28"/>
  <c r="BA107" i="33" s="1"/>
  <c r="AS107" i="33"/>
  <c r="BA93" i="28"/>
  <c r="BA109" i="33" s="1"/>
  <c r="AS109" i="33"/>
  <c r="BA95" i="28"/>
  <c r="BA111" i="33" s="1"/>
  <c r="AS111" i="33"/>
  <c r="BA97" i="28"/>
  <c r="BA113" i="33" s="1"/>
  <c r="AS113" i="33"/>
  <c r="BA99" i="28"/>
  <c r="BA115" i="33" s="1"/>
  <c r="AS115" i="33"/>
  <c r="BA101" i="28"/>
  <c r="BA117" i="33" s="1"/>
  <c r="AS117" i="33"/>
  <c r="BA103" i="28"/>
  <c r="BA119" i="33" s="1"/>
  <c r="AS119" i="33"/>
  <c r="BA105" i="28"/>
  <c r="BA121" i="33" s="1"/>
  <c r="AS121" i="33"/>
  <c r="BA107" i="28"/>
  <c r="BA123" i="33" s="1"/>
  <c r="AS123" i="33"/>
  <c r="BA109" i="28"/>
  <c r="BA125" i="33" s="1"/>
  <c r="AS125" i="33"/>
  <c r="BA12" i="28"/>
  <c r="BA28" i="33" s="1"/>
  <c r="AS28" i="33"/>
  <c r="BA16" i="28"/>
  <c r="BA32" i="33" s="1"/>
  <c r="AS32" i="33"/>
  <c r="BA18" i="28"/>
  <c r="BA34" i="33" s="1"/>
  <c r="AS34" i="33"/>
  <c r="BA20" i="28"/>
  <c r="BA36" i="33" s="1"/>
  <c r="AS36" i="33"/>
  <c r="BA22" i="28"/>
  <c r="BA38" i="33" s="1"/>
  <c r="AS38" i="33"/>
  <c r="BA24" i="28"/>
  <c r="BA40" i="33" s="1"/>
  <c r="AS40" i="33"/>
  <c r="BA26" i="28"/>
  <c r="BA42" i="33" s="1"/>
  <c r="AS42" i="33"/>
  <c r="BA28" i="28"/>
  <c r="BA44" i="33" s="1"/>
  <c r="AS44" i="33"/>
  <c r="BA30" i="28"/>
  <c r="BA46" i="33" s="1"/>
  <c r="AS46" i="33"/>
  <c r="BA32" i="28"/>
  <c r="BA48" i="33" s="1"/>
  <c r="AS48" i="33"/>
  <c r="BA34" i="28"/>
  <c r="BA50" i="33" s="1"/>
  <c r="AS50" i="33"/>
  <c r="BA36" i="28"/>
  <c r="BA52" i="33" s="1"/>
  <c r="AS52" i="33"/>
  <c r="BA38" i="28"/>
  <c r="BA54" i="33" s="1"/>
  <c r="AS54" i="33"/>
  <c r="BA40" i="28"/>
  <c r="BA56" i="33" s="1"/>
  <c r="AS56" i="33"/>
  <c r="BA42" i="28"/>
  <c r="BA58" i="33" s="1"/>
  <c r="AS58" i="33"/>
  <c r="BA44" i="28"/>
  <c r="BA60" i="33" s="1"/>
  <c r="AS60" i="33"/>
  <c r="BA46" i="28"/>
  <c r="BA62" i="33" s="1"/>
  <c r="AS62" i="33"/>
  <c r="BA48" i="28"/>
  <c r="BA64" i="33" s="1"/>
  <c r="AS64" i="33"/>
  <c r="BA50" i="28"/>
  <c r="BA66" i="33" s="1"/>
  <c r="AS66" i="33"/>
  <c r="BA52" i="28"/>
  <c r="BA68" i="33" s="1"/>
  <c r="AS68" i="33"/>
  <c r="BA54" i="28"/>
  <c r="BA70" i="33" s="1"/>
  <c r="AS70" i="33"/>
  <c r="BA56" i="28"/>
  <c r="BA72" i="33" s="1"/>
  <c r="AS72" i="33"/>
  <c r="BA58" i="28"/>
  <c r="BA74" i="33" s="1"/>
  <c r="AS74" i="33"/>
  <c r="BA60" i="28"/>
  <c r="BA76" i="33" s="1"/>
  <c r="AS76" i="33"/>
  <c r="BA62" i="28"/>
  <c r="BA78" i="33" s="1"/>
  <c r="AS78" i="33"/>
  <c r="BA64" i="28"/>
  <c r="BA80" i="33" s="1"/>
  <c r="AS80" i="33"/>
  <c r="BA66" i="28"/>
  <c r="BA82" i="33" s="1"/>
  <c r="AS82" i="33"/>
  <c r="BA68" i="28"/>
  <c r="BA84" i="33" s="1"/>
  <c r="AS84" i="33"/>
  <c r="BA70" i="28"/>
  <c r="BA86" i="33" s="1"/>
  <c r="AS86" i="33"/>
  <c r="BA72" i="28"/>
  <c r="BA88" i="33" s="1"/>
  <c r="AS88" i="33"/>
  <c r="BA74" i="28"/>
  <c r="BA90" i="33" s="1"/>
  <c r="AS90" i="33"/>
  <c r="BA76" i="28"/>
  <c r="BA92" i="33" s="1"/>
  <c r="AS92" i="33"/>
  <c r="BA78" i="28"/>
  <c r="BA94" i="33" s="1"/>
  <c r="AS94" i="33"/>
  <c r="BA80" i="28"/>
  <c r="BA96" i="33" s="1"/>
  <c r="AS96" i="33"/>
  <c r="BA82" i="28"/>
  <c r="BA98" i="33" s="1"/>
  <c r="AS98" i="33"/>
  <c r="BA84" i="28"/>
  <c r="BA100" i="33" s="1"/>
  <c r="AS100" i="33"/>
  <c r="BA86" i="28"/>
  <c r="BA102" i="33" s="1"/>
  <c r="AS102" i="33"/>
  <c r="BA88" i="28"/>
  <c r="BA104" i="33" s="1"/>
  <c r="AS104" i="33"/>
  <c r="BA90" i="28"/>
  <c r="BA106" i="33" s="1"/>
  <c r="AS106" i="33"/>
  <c r="BA92" i="28"/>
  <c r="BA108" i="33" s="1"/>
  <c r="AS108" i="33"/>
  <c r="BA94" i="28"/>
  <c r="BA110" i="33" s="1"/>
  <c r="AS110" i="33"/>
  <c r="BA96" i="28"/>
  <c r="BA112" i="33" s="1"/>
  <c r="AS112" i="33"/>
  <c r="BA98" i="28"/>
  <c r="BA114" i="33" s="1"/>
  <c r="AS114" i="33"/>
  <c r="BA100" i="28"/>
  <c r="BA116" i="33" s="1"/>
  <c r="AS116" i="33"/>
  <c r="BA102" i="28"/>
  <c r="BA118" i="33" s="1"/>
  <c r="AS118" i="33"/>
  <c r="BA104" i="28"/>
  <c r="BA120" i="33" s="1"/>
  <c r="AS120" i="33"/>
  <c r="BA106" i="28"/>
  <c r="BA122" i="33" s="1"/>
  <c r="AS122" i="33"/>
  <c r="BA108" i="28"/>
  <c r="BA124" i="33" s="1"/>
  <c r="AS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G2" i="29"/>
  <c r="I2" i="38"/>
  <c r="G2" i="16"/>
  <c r="G2" i="28"/>
  <c r="G2" i="9"/>
  <c r="S258" i="31"/>
  <c r="I2" i="20"/>
  <c r="G2" i="26"/>
  <c r="M2" i="19"/>
  <c r="I2" i="9"/>
  <c r="J2" i="7"/>
  <c r="M2" i="20"/>
  <c r="M2" i="29"/>
  <c r="G2" i="20"/>
  <c r="G2" i="19"/>
  <c r="G2" i="30"/>
  <c r="I2" i="16"/>
  <c r="G2" i="31"/>
  <c r="M2" i="10"/>
  <c r="D55" i="20"/>
  <c r="M2" i="16"/>
  <c r="H2" i="7"/>
  <c r="S199" i="31"/>
  <c r="I2" i="19"/>
  <c r="I2" i="10"/>
  <c r="G2" i="39"/>
  <c r="M2" i="26"/>
  <c r="N2" i="7"/>
  <c r="M2" i="39"/>
  <c r="I2" i="30"/>
  <c r="S52" i="20"/>
  <c r="D8" i="20"/>
  <c r="M2" i="38"/>
  <c r="M2" i="9"/>
  <c r="G2" i="10"/>
  <c r="M2" i="30"/>
  <c r="S102" i="26" l="1"/>
  <c r="C401" i="26"/>
  <c r="D336" i="26"/>
  <c r="R336" i="26"/>
  <c r="S357" i="26"/>
  <c r="S358" i="26" s="1"/>
  <c r="S229" i="26"/>
  <c r="S294" i="26"/>
  <c r="W35" i="7"/>
  <c r="Q14" i="33"/>
  <c r="W39" i="7"/>
  <c r="Q18" i="33"/>
  <c r="W36" i="7"/>
  <c r="Q15" i="33"/>
  <c r="W40" i="7"/>
  <c r="Q19" i="33"/>
  <c r="W33" i="7"/>
  <c r="Q12" i="33"/>
  <c r="W37" i="7"/>
  <c r="Q16" i="33"/>
  <c r="W41" i="7"/>
  <c r="Q20" i="33"/>
  <c r="W34" i="7"/>
  <c r="Q13" i="33"/>
  <c r="W38" i="7"/>
  <c r="Q17" i="33"/>
  <c r="W42" i="7"/>
  <c r="Q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Z97" i="33"/>
  <c r="AV81" i="28"/>
  <c r="AV97" i="33" s="1"/>
  <c r="AN81" i="28"/>
  <c r="AO97" i="33" s="1"/>
  <c r="AZ85" i="33"/>
  <c r="AV69" i="28"/>
  <c r="AV85" i="33" s="1"/>
  <c r="AN69" i="28"/>
  <c r="AO85" i="33" s="1"/>
  <c r="AZ120" i="33"/>
  <c r="AN104" i="28"/>
  <c r="AO120" i="33" s="1"/>
  <c r="AV104" i="28"/>
  <c r="AV120" i="33" s="1"/>
  <c r="AV82" i="28"/>
  <c r="AV98" i="33" s="1"/>
  <c r="AN82" i="28"/>
  <c r="AO98" i="33" s="1"/>
  <c r="AV78" i="28"/>
  <c r="AV94" i="33" s="1"/>
  <c r="AN78" i="28"/>
  <c r="AO94" i="33" s="1"/>
  <c r="AV74" i="28"/>
  <c r="AV90" i="33" s="1"/>
  <c r="AN74" i="28"/>
  <c r="AO90" i="33" s="1"/>
  <c r="AV70" i="28"/>
  <c r="AV86" i="33" s="1"/>
  <c r="AN70" i="28"/>
  <c r="AO86" i="33" s="1"/>
  <c r="AV66" i="28"/>
  <c r="AV82" i="33" s="1"/>
  <c r="AN66" i="28"/>
  <c r="AO82" i="33" s="1"/>
  <c r="AV62" i="28"/>
  <c r="AV78" i="33" s="1"/>
  <c r="AN62" i="28"/>
  <c r="AO78" i="33" s="1"/>
  <c r="AV58" i="28"/>
  <c r="AV74" i="33" s="1"/>
  <c r="AN58" i="28"/>
  <c r="AO74" i="33" s="1"/>
  <c r="AZ70" i="33"/>
  <c r="AV54" i="28"/>
  <c r="AV70" i="33" s="1"/>
  <c r="AN54" i="28"/>
  <c r="AO70" i="33" s="1"/>
  <c r="AZ66" i="33"/>
  <c r="AV50" i="28"/>
  <c r="AV66" i="33" s="1"/>
  <c r="AN50" i="28"/>
  <c r="AO66" i="33" s="1"/>
  <c r="AZ62" i="33"/>
  <c r="AV46" i="28"/>
  <c r="AV62" i="33" s="1"/>
  <c r="AN46" i="28"/>
  <c r="AO62" i="33" s="1"/>
  <c r="AZ58" i="33"/>
  <c r="AV42" i="28"/>
  <c r="AV58" i="33" s="1"/>
  <c r="AN42" i="28"/>
  <c r="AO58" i="33" s="1"/>
  <c r="AZ113" i="33"/>
  <c r="AV97" i="28"/>
  <c r="AV113" i="33" s="1"/>
  <c r="AN97" i="28"/>
  <c r="AO113" i="33" s="1"/>
  <c r="AZ109" i="33"/>
  <c r="AV93" i="28"/>
  <c r="AV109" i="33" s="1"/>
  <c r="AN93" i="28"/>
  <c r="AO109" i="33" s="1"/>
  <c r="AZ105" i="33"/>
  <c r="AV89" i="28"/>
  <c r="AV105" i="33" s="1"/>
  <c r="AN89" i="28"/>
  <c r="AO105" i="33" s="1"/>
  <c r="AZ125" i="33"/>
  <c r="AV109" i="28"/>
  <c r="AV125" i="33" s="1"/>
  <c r="AN109" i="28"/>
  <c r="AO125" i="33" s="1"/>
  <c r="AZ121" i="33"/>
  <c r="AV105" i="28"/>
  <c r="AV121" i="33" s="1"/>
  <c r="AN105" i="28"/>
  <c r="AO121" i="33" s="1"/>
  <c r="AZ117" i="33"/>
  <c r="AV101" i="28"/>
  <c r="AV117" i="33" s="1"/>
  <c r="AN101" i="28"/>
  <c r="AO117" i="33" s="1"/>
  <c r="AV41" i="28"/>
  <c r="AV57" i="33" s="1"/>
  <c r="AN41" i="28"/>
  <c r="AO57" i="33" s="1"/>
  <c r="AN96" i="28"/>
  <c r="AO112" i="33" s="1"/>
  <c r="AV96" i="28"/>
  <c r="AV112" i="33" s="1"/>
  <c r="AZ108" i="33"/>
  <c r="AV92" i="28"/>
  <c r="AV108" i="33" s="1"/>
  <c r="AN92" i="28"/>
  <c r="AO108" i="33" s="1"/>
  <c r="AZ104" i="33"/>
  <c r="AN88" i="28"/>
  <c r="AO104" i="33" s="1"/>
  <c r="AV88" i="28"/>
  <c r="AV104" i="33" s="1"/>
  <c r="AZ116" i="33"/>
  <c r="AV100" i="28"/>
  <c r="AV116" i="33" s="1"/>
  <c r="AN100" i="28"/>
  <c r="AO116" i="33" s="1"/>
  <c r="AZ99" i="33"/>
  <c r="AN83" i="28"/>
  <c r="AO99" i="33" s="1"/>
  <c r="AV83" i="28"/>
  <c r="AV99" i="33" s="1"/>
  <c r="AZ95" i="33"/>
  <c r="AV79" i="28"/>
  <c r="AV95" i="33" s="1"/>
  <c r="AN79" i="28"/>
  <c r="AO95" i="33" s="1"/>
  <c r="AZ91" i="33"/>
  <c r="AN75" i="28"/>
  <c r="AO91" i="33" s="1"/>
  <c r="AV75" i="28"/>
  <c r="AV91" i="33" s="1"/>
  <c r="AZ87" i="33"/>
  <c r="AV71" i="28"/>
  <c r="AV87" i="33" s="1"/>
  <c r="AN71" i="28"/>
  <c r="AO87" i="33" s="1"/>
  <c r="AZ83" i="33"/>
  <c r="AN67" i="28"/>
  <c r="AO83" i="33" s="1"/>
  <c r="AV67" i="28"/>
  <c r="AV83" i="33" s="1"/>
  <c r="AZ79" i="33"/>
  <c r="AV63" i="28"/>
  <c r="AV79" i="33" s="1"/>
  <c r="AN63" i="28"/>
  <c r="AO79" i="33" s="1"/>
  <c r="AZ75" i="33"/>
  <c r="AN59" i="28"/>
  <c r="AO75" i="33" s="1"/>
  <c r="AV59" i="28"/>
  <c r="AV75" i="33" s="1"/>
  <c r="AZ71" i="33"/>
  <c r="AV55" i="28"/>
  <c r="AV71" i="33" s="1"/>
  <c r="AN55" i="28"/>
  <c r="AO71" i="33" s="1"/>
  <c r="AZ67" i="33"/>
  <c r="AN51" i="28"/>
  <c r="AO67" i="33" s="1"/>
  <c r="AV51" i="28"/>
  <c r="AV67" i="33" s="1"/>
  <c r="AZ63" i="33"/>
  <c r="AV47" i="28"/>
  <c r="AV63" i="33" s="1"/>
  <c r="AN47" i="28"/>
  <c r="AO63" i="33" s="1"/>
  <c r="AZ59" i="33"/>
  <c r="AN43" i="28"/>
  <c r="AO59" i="33" s="1"/>
  <c r="AV43" i="28"/>
  <c r="AV59" i="33" s="1"/>
  <c r="AZ114" i="33"/>
  <c r="AV98" i="28"/>
  <c r="AV114" i="33" s="1"/>
  <c r="AN98" i="28"/>
  <c r="AO114" i="33" s="1"/>
  <c r="AZ110" i="33"/>
  <c r="AV94" i="28"/>
  <c r="AV110" i="33" s="1"/>
  <c r="AN94" i="28"/>
  <c r="AO110" i="33" s="1"/>
  <c r="AZ106" i="33"/>
  <c r="AV90" i="28"/>
  <c r="AV106" i="33" s="1"/>
  <c r="AN90" i="28"/>
  <c r="AO106" i="33" s="1"/>
  <c r="AZ102" i="33"/>
  <c r="AV86" i="28"/>
  <c r="AV102" i="33" s="1"/>
  <c r="AN86" i="28"/>
  <c r="AO102" i="33" s="1"/>
  <c r="AZ122" i="33"/>
  <c r="AV106" i="28"/>
  <c r="AV122" i="33" s="1"/>
  <c r="AN106" i="28"/>
  <c r="AO122" i="33" s="1"/>
  <c r="AZ118" i="33"/>
  <c r="AV102" i="28"/>
  <c r="AV118" i="33" s="1"/>
  <c r="AN102" i="28"/>
  <c r="AO118" i="33" s="1"/>
  <c r="AZ101" i="33"/>
  <c r="AV85" i="28"/>
  <c r="AV101" i="33" s="1"/>
  <c r="AN85" i="28"/>
  <c r="AO101" i="33" s="1"/>
  <c r="AZ93" i="33"/>
  <c r="AV77" i="28"/>
  <c r="AV93" i="33" s="1"/>
  <c r="AN77" i="28"/>
  <c r="AO93" i="33" s="1"/>
  <c r="AZ89" i="33"/>
  <c r="AV73" i="28"/>
  <c r="AV89" i="33" s="1"/>
  <c r="AN73" i="28"/>
  <c r="AO89" i="33" s="1"/>
  <c r="AZ81" i="33"/>
  <c r="AV65" i="28"/>
  <c r="AV81" i="33" s="1"/>
  <c r="AN65" i="28"/>
  <c r="AO81" i="33" s="1"/>
  <c r="AZ77" i="33"/>
  <c r="AV61" i="28"/>
  <c r="AV77" i="33" s="1"/>
  <c r="AN61" i="28"/>
  <c r="AO77" i="33" s="1"/>
  <c r="AZ73" i="33"/>
  <c r="AV57" i="28"/>
  <c r="AV73" i="33" s="1"/>
  <c r="AN57" i="28"/>
  <c r="AO73" i="33" s="1"/>
  <c r="AZ69" i="33"/>
  <c r="AV53" i="28"/>
  <c r="AV69" i="33" s="1"/>
  <c r="AN53" i="28"/>
  <c r="AO69" i="33" s="1"/>
  <c r="AZ65" i="33"/>
  <c r="AV49" i="28"/>
  <c r="AV65" i="33" s="1"/>
  <c r="AN49" i="28"/>
  <c r="AO65" i="33" s="1"/>
  <c r="AZ61" i="33"/>
  <c r="AV45" i="28"/>
  <c r="AV61" i="33" s="1"/>
  <c r="AN45" i="28"/>
  <c r="AO61" i="33" s="1"/>
  <c r="AZ124" i="33"/>
  <c r="AV108" i="28"/>
  <c r="AV124" i="33" s="1"/>
  <c r="AN108" i="28"/>
  <c r="AO124" i="33" s="1"/>
  <c r="AV84" i="28"/>
  <c r="AV100" i="33" s="1"/>
  <c r="AN84" i="28"/>
  <c r="AO100" i="33" s="1"/>
  <c r="AN80" i="28"/>
  <c r="AO96" i="33" s="1"/>
  <c r="AV80" i="28"/>
  <c r="AV96" i="33" s="1"/>
  <c r="AZ92" i="33"/>
  <c r="AN76" i="28"/>
  <c r="AO92" i="33" s="1"/>
  <c r="AV76" i="28"/>
  <c r="AV92" i="33" s="1"/>
  <c r="AZ88" i="33"/>
  <c r="AN72" i="28"/>
  <c r="AO88" i="33" s="1"/>
  <c r="AV72" i="28"/>
  <c r="AV88" i="33" s="1"/>
  <c r="AZ84" i="33"/>
  <c r="AV68" i="28"/>
  <c r="AV84" i="33" s="1"/>
  <c r="AN68" i="28"/>
  <c r="AO84" i="33" s="1"/>
  <c r="AN64" i="28"/>
  <c r="AO80" i="33" s="1"/>
  <c r="AV64" i="28"/>
  <c r="AV80" i="33" s="1"/>
  <c r="AZ76" i="33"/>
  <c r="AV60" i="28"/>
  <c r="AV76" i="33" s="1"/>
  <c r="AN60" i="28"/>
  <c r="AO76" i="33" s="1"/>
  <c r="AZ72" i="33"/>
  <c r="AN56" i="28"/>
  <c r="AO72" i="33" s="1"/>
  <c r="AV56" i="28"/>
  <c r="AV72" i="33" s="1"/>
  <c r="AZ68" i="33"/>
  <c r="AV52" i="28"/>
  <c r="AV68" i="33" s="1"/>
  <c r="AN52" i="28"/>
  <c r="AO68" i="33" s="1"/>
  <c r="AZ64" i="33"/>
  <c r="AN48" i="28"/>
  <c r="AO64" i="33" s="1"/>
  <c r="AV48" i="28"/>
  <c r="AV64" i="33" s="1"/>
  <c r="AZ60" i="33"/>
  <c r="AV44" i="28"/>
  <c r="AV60" i="33" s="1"/>
  <c r="AN44" i="28"/>
  <c r="AO60" i="33" s="1"/>
  <c r="AZ56" i="33"/>
  <c r="AN40" i="28"/>
  <c r="AO56" i="33" s="1"/>
  <c r="AV40" i="28"/>
  <c r="AV56" i="33" s="1"/>
  <c r="AZ111" i="33"/>
  <c r="AV95" i="28"/>
  <c r="AV111" i="33" s="1"/>
  <c r="AN95" i="28"/>
  <c r="AO111" i="33" s="1"/>
  <c r="AZ107" i="33"/>
  <c r="AN91" i="28"/>
  <c r="AO107" i="33" s="1"/>
  <c r="AV91" i="28"/>
  <c r="AV107" i="33" s="1"/>
  <c r="AV87" i="28"/>
  <c r="AV103" i="33" s="1"/>
  <c r="AN87" i="28"/>
  <c r="AO103" i="33" s="1"/>
  <c r="AN107" i="28"/>
  <c r="AO123" i="33" s="1"/>
  <c r="AV107" i="28"/>
  <c r="AV123" i="33" s="1"/>
  <c r="AZ119" i="33"/>
  <c r="AV103" i="28"/>
  <c r="AV119" i="33" s="1"/>
  <c r="AN103" i="28"/>
  <c r="AO119" i="33" s="1"/>
  <c r="AZ115" i="33"/>
  <c r="AN99" i="28"/>
  <c r="AO115" i="33" s="1"/>
  <c r="AV99" i="28"/>
  <c r="AV115" i="33" s="1"/>
  <c r="AZ103" i="33"/>
  <c r="AZ100" i="33"/>
  <c r="AZ57" i="33"/>
  <c r="AZ123" i="33"/>
  <c r="AZ112" i="33"/>
  <c r="AZ86" i="33"/>
  <c r="AZ96" i="33"/>
  <c r="AZ80" i="33"/>
  <c r="AZ98" i="33"/>
  <c r="AZ82" i="33"/>
  <c r="AZ90" i="33"/>
  <c r="AZ74" i="33"/>
  <c r="AZ94" i="33"/>
  <c r="AZ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P88" i="33" s="1"/>
  <c r="AO94" i="28"/>
  <c r="AO57" i="28"/>
  <c r="AO48" i="28"/>
  <c r="AO64" i="28"/>
  <c r="AO80" i="28"/>
  <c r="AO86" i="28"/>
  <c r="AO65" i="28"/>
  <c r="AO89" i="28"/>
  <c r="AP105" i="33" s="1"/>
  <c r="AO46" i="28"/>
  <c r="AO62" i="28"/>
  <c r="AO78" i="28"/>
  <c r="AO108" i="28"/>
  <c r="AO41" i="28"/>
  <c r="AO73" i="28"/>
  <c r="AW59" i="33"/>
  <c r="AP59" i="33"/>
  <c r="AW91" i="33"/>
  <c r="AP91" i="33"/>
  <c r="AW99" i="33"/>
  <c r="AP99" i="33"/>
  <c r="AW67" i="33"/>
  <c r="AP67" i="33"/>
  <c r="AW75" i="33"/>
  <c r="AP75" i="33"/>
  <c r="AW83" i="33"/>
  <c r="AP83" i="33"/>
  <c r="AW115" i="33"/>
  <c r="AP115" i="33"/>
  <c r="L119" i="33"/>
  <c r="AW123" i="33"/>
  <c r="AP123" i="33"/>
  <c r="L103" i="33"/>
  <c r="AW107" i="33"/>
  <c r="AP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P94" i="33" l="1"/>
  <c r="AW78" i="28"/>
  <c r="AW94" i="33" s="1"/>
  <c r="AW48" i="28"/>
  <c r="AW64" i="33" s="1"/>
  <c r="AW70" i="28"/>
  <c r="AW86" i="33" s="1"/>
  <c r="AW73" i="28"/>
  <c r="AW89" i="33" s="1"/>
  <c r="AW62" i="28"/>
  <c r="AW78" i="33" s="1"/>
  <c r="AP102" i="33"/>
  <c r="AW86" i="28"/>
  <c r="AW102" i="33" s="1"/>
  <c r="AW57" i="28"/>
  <c r="AW73" i="33" s="1"/>
  <c r="AW49" i="28"/>
  <c r="AW65" i="33" s="1"/>
  <c r="AW92" i="28"/>
  <c r="AW108" i="33" s="1"/>
  <c r="AP118" i="33"/>
  <c r="AW102" i="28"/>
  <c r="AW118" i="33" s="1"/>
  <c r="AW65" i="28"/>
  <c r="AW81" i="33" s="1"/>
  <c r="AW40" i="28"/>
  <c r="AW56" i="33" s="1"/>
  <c r="AP121" i="33"/>
  <c r="AW105" i="28"/>
  <c r="AW121" i="33" s="1"/>
  <c r="AW41" i="28"/>
  <c r="AW57" i="33" s="1"/>
  <c r="AP62" i="33"/>
  <c r="AW46" i="28"/>
  <c r="AW62" i="33" s="1"/>
  <c r="AP96" i="33"/>
  <c r="AW80" i="28"/>
  <c r="AW96" i="33" s="1"/>
  <c r="AW94" i="28"/>
  <c r="AW110" i="33" s="1"/>
  <c r="AW100" i="28"/>
  <c r="AW116" i="33" s="1"/>
  <c r="AW97" i="28"/>
  <c r="AW113" i="33" s="1"/>
  <c r="AW108" i="28"/>
  <c r="AW124" i="33" s="1"/>
  <c r="AW89" i="28"/>
  <c r="AW105" i="33" s="1"/>
  <c r="AW64" i="28"/>
  <c r="AW80" i="33" s="1"/>
  <c r="AW72" i="28"/>
  <c r="AW88" i="33" s="1"/>
  <c r="AP70" i="33"/>
  <c r="AW54" i="28"/>
  <c r="AW70" i="33" s="1"/>
  <c r="AW56" i="28"/>
  <c r="AW72" i="33" s="1"/>
  <c r="S618" i="26"/>
  <c r="S234" i="26"/>
  <c r="S364" i="26"/>
  <c r="S490" i="26"/>
  <c r="S554" i="26"/>
  <c r="S300" i="26"/>
  <c r="S427" i="26"/>
  <c r="AP81" i="33"/>
  <c r="AP56" i="33"/>
  <c r="AP86" i="33"/>
  <c r="AP72" i="33"/>
  <c r="AP64" i="33"/>
  <c r="AP124" i="33"/>
  <c r="AP108" i="33"/>
  <c r="AP110" i="33"/>
  <c r="AP80" i="33"/>
  <c r="AP113" i="33"/>
  <c r="AP78" i="33"/>
  <c r="AP73" i="33"/>
  <c r="AP89" i="33"/>
  <c r="AP57" i="33"/>
  <c r="AP65" i="33"/>
  <c r="AP116" i="33"/>
  <c r="AW93" i="33"/>
  <c r="AP93" i="33"/>
  <c r="AW61" i="33"/>
  <c r="AP61" i="33"/>
  <c r="AW98" i="33"/>
  <c r="AP98" i="33"/>
  <c r="AW66" i="33"/>
  <c r="AP66" i="33"/>
  <c r="AW117" i="33"/>
  <c r="AP117" i="33"/>
  <c r="AW71" i="33"/>
  <c r="AP71" i="33"/>
  <c r="AW122" i="33"/>
  <c r="AP122" i="33"/>
  <c r="AW76" i="33"/>
  <c r="AP76" i="33"/>
  <c r="AW97" i="33"/>
  <c r="AP97" i="33"/>
  <c r="AW85" i="33"/>
  <c r="AP85" i="33"/>
  <c r="AW112" i="33"/>
  <c r="AP112" i="33"/>
  <c r="AW90" i="33"/>
  <c r="AP90" i="33"/>
  <c r="AW58" i="33"/>
  <c r="AP58" i="33"/>
  <c r="AW79" i="33"/>
  <c r="AP79" i="33"/>
  <c r="AW100" i="33"/>
  <c r="AP100" i="33"/>
  <c r="AW68" i="33"/>
  <c r="AP68" i="33"/>
  <c r="AW119" i="33"/>
  <c r="AP119" i="33"/>
  <c r="AW77" i="33"/>
  <c r="AP77" i="33"/>
  <c r="AW104" i="33"/>
  <c r="AP104" i="33"/>
  <c r="AW82" i="33"/>
  <c r="AP82" i="33"/>
  <c r="AW109" i="33"/>
  <c r="AP109" i="33"/>
  <c r="AW87" i="33"/>
  <c r="AP87" i="33"/>
  <c r="AW114" i="33"/>
  <c r="AP114" i="33"/>
  <c r="AW92" i="33"/>
  <c r="AP92" i="33"/>
  <c r="AW60" i="33"/>
  <c r="AP60" i="33"/>
  <c r="AW103" i="33"/>
  <c r="AP103" i="33"/>
  <c r="AW101" i="33"/>
  <c r="AP101" i="33"/>
  <c r="AW69" i="33"/>
  <c r="AP69" i="33"/>
  <c r="AW120" i="33"/>
  <c r="AP120" i="33"/>
  <c r="AW74" i="33"/>
  <c r="AP74" i="33"/>
  <c r="AW125" i="33"/>
  <c r="AP125" i="33"/>
  <c r="AW95" i="33"/>
  <c r="AP95" i="33"/>
  <c r="AW63" i="33"/>
  <c r="AP63" i="33"/>
  <c r="AW106" i="33"/>
  <c r="AP106" i="33"/>
  <c r="AW84" i="33"/>
  <c r="AP84" i="33"/>
  <c r="AW111" i="33"/>
  <c r="AP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I2" i="28"/>
  <c r="S42" i="20"/>
  <c r="K2" i="20"/>
  <c r="K2" i="16"/>
  <c r="K2" i="10"/>
  <c r="K2" i="30"/>
  <c r="K2" i="9"/>
  <c r="S51" i="20"/>
  <c r="K2" i="31"/>
  <c r="K2" i="26"/>
  <c r="K2" i="19"/>
  <c r="S38" i="20"/>
  <c r="K2" i="29"/>
  <c r="K2" i="38"/>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52" i="20"/>
  <c r="S43" i="20"/>
  <c r="D42" i="20"/>
  <c r="S557" i="26" l="1"/>
  <c r="S430" i="26"/>
  <c r="S621" i="26"/>
  <c r="S493" i="26"/>
  <c r="S494" i="26" s="1"/>
  <c r="T46" i="20"/>
  <c r="T47" i="20" s="1"/>
  <c r="K34" i="30"/>
  <c r="J34" i="30"/>
  <c r="S44" i="20"/>
  <c r="S45" i="20"/>
  <c r="E43" i="20"/>
  <c r="S47" i="20"/>
  <c r="S622" i="26" l="1"/>
  <c r="S623" i="26" s="1"/>
  <c r="S558" i="26"/>
  <c r="S495" i="26"/>
  <c r="L49" i="30"/>
  <c r="M49" i="30" s="1"/>
  <c r="J49" i="30"/>
  <c r="L34" i="30"/>
  <c r="E45" i="20"/>
  <c r="E44" i="20"/>
  <c r="S46"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E132" i="7"/>
  <c r="E134" i="7"/>
  <c r="E131" i="7"/>
  <c r="E127" i="7"/>
  <c r="E130" i="7"/>
  <c r="E126" i="7"/>
  <c r="S108" i="31"/>
  <c r="D91" i="18" l="1"/>
  <c r="K492" i="29"/>
  <c r="K491" i="29"/>
  <c r="K490" i="29"/>
  <c r="Y459" i="29"/>
  <c r="V459" i="29" s="1"/>
  <c r="K624" i="29"/>
  <c r="K623" i="29"/>
  <c r="K622" i="29"/>
  <c r="K888" i="29"/>
  <c r="K887" i="29"/>
  <c r="K886" i="29"/>
  <c r="E722" i="29"/>
  <c r="E723" i="29" s="1"/>
  <c r="Y722" i="29"/>
  <c r="V722" i="29" s="1"/>
  <c r="K722" i="29"/>
  <c r="K723" i="29" s="1"/>
  <c r="K724" i="29" s="1"/>
  <c r="K725" i="29" s="1"/>
  <c r="K726" i="29" s="1"/>
  <c r="K727" i="29" s="1"/>
  <c r="K728"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E33" i="20"/>
  <c r="S26" i="20"/>
  <c r="S36" i="20"/>
  <c r="D28" i="20"/>
  <c r="D23" i="20"/>
  <c r="S24" i="20"/>
  <c r="S32" i="20"/>
  <c r="S40" i="20"/>
  <c r="C3" i="4" l="1"/>
  <c r="H60" i="20" s="1"/>
  <c r="D32" i="20"/>
  <c r="D35" i="20"/>
  <c r="S25" i="20"/>
  <c r="S39" i="20"/>
  <c r="E40" i="20"/>
  <c r="E36" i="20"/>
  <c r="E26" i="20"/>
  <c r="D38" i="20"/>
  <c r="E24"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S18" i="20"/>
  <c r="E30" i="20"/>
  <c r="S29" i="20"/>
  <c r="E17"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Z31" i="33"/>
  <c r="AN240" i="28"/>
  <c r="AO52" i="33"/>
  <c r="AN239" i="28"/>
  <c r="AO51" i="33"/>
  <c r="AV238" i="28"/>
  <c r="AV50" i="33"/>
  <c r="AN235" i="28"/>
  <c r="AO47" i="33"/>
  <c r="AN234" i="28"/>
  <c r="AO46" i="33"/>
  <c r="AV233" i="28"/>
  <c r="AV45" i="33"/>
  <c r="AN229" i="28"/>
  <c r="AO41" i="33"/>
  <c r="AN228" i="28"/>
  <c r="AO40" i="33"/>
  <c r="AN224" i="28"/>
  <c r="AO36" i="33"/>
  <c r="AN223" i="28"/>
  <c r="AO35" i="33"/>
  <c r="AV222" i="28"/>
  <c r="AV34" i="33"/>
  <c r="AN219" i="28"/>
  <c r="AO31" i="33"/>
  <c r="AZ230" i="28"/>
  <c r="AZ42" i="33"/>
  <c r="AN241" i="28"/>
  <c r="AO53" i="33"/>
  <c r="AV240" i="28"/>
  <c r="AV52" i="33"/>
  <c r="AV236" i="28"/>
  <c r="AV48" i="33"/>
  <c r="AV235" i="28"/>
  <c r="AV47" i="33"/>
  <c r="AV234" i="28"/>
  <c r="AV46" i="33"/>
  <c r="AV231" i="28"/>
  <c r="AV43" i="33"/>
  <c r="AN230" i="28"/>
  <c r="AO42" i="33"/>
  <c r="AV229" i="28"/>
  <c r="AV41" i="33"/>
  <c r="AN225" i="28"/>
  <c r="AO37" i="33"/>
  <c r="AV224" i="28"/>
  <c r="AV36" i="33"/>
  <c r="AV220" i="28"/>
  <c r="AV32" i="33"/>
  <c r="AV219" i="28"/>
  <c r="AV31" i="33"/>
  <c r="AZ241" i="28"/>
  <c r="AZ53" i="33"/>
  <c r="AZ235" i="28"/>
  <c r="AZ47" i="33"/>
  <c r="AZ232" i="28"/>
  <c r="AZ44" i="33"/>
  <c r="AZ226" i="28"/>
  <c r="AZ38" i="33"/>
  <c r="AZ237" i="28"/>
  <c r="AZ49" i="33"/>
  <c r="AZ229" i="28"/>
  <c r="AZ41" i="33"/>
  <c r="AZ221" i="28"/>
  <c r="AZ33" i="33"/>
  <c r="AZ238" i="28"/>
  <c r="AZ50" i="33"/>
  <c r="AZ222" i="28"/>
  <c r="AZ34" i="33"/>
  <c r="AN243" i="28"/>
  <c r="AO55" i="33"/>
  <c r="AN242" i="28"/>
  <c r="AO54" i="33"/>
  <c r="AV241" i="28"/>
  <c r="AV53" i="33"/>
  <c r="AN237" i="28"/>
  <c r="AO49" i="33"/>
  <c r="AN236" i="28"/>
  <c r="AO48" i="33"/>
  <c r="AV232" i="28"/>
  <c r="AV44" i="33"/>
  <c r="AN231" i="28"/>
  <c r="AO43" i="33"/>
  <c r="AV230" i="28"/>
  <c r="AV42" i="33"/>
  <c r="AN227" i="28"/>
  <c r="AO39" i="33"/>
  <c r="AN226" i="28"/>
  <c r="AO38" i="33"/>
  <c r="AV225" i="28"/>
  <c r="AV37" i="33"/>
  <c r="AN221" i="28"/>
  <c r="AO33" i="33"/>
  <c r="AN220" i="28"/>
  <c r="AO32" i="33"/>
  <c r="AZ243" i="28"/>
  <c r="AZ55" i="33"/>
  <c r="AZ227" i="28"/>
  <c r="AZ39" i="33"/>
  <c r="AZ240" i="28"/>
  <c r="AZ52" i="33"/>
  <c r="AZ224" i="28"/>
  <c r="AZ36" i="33"/>
  <c r="AZ233" i="28"/>
  <c r="AZ45" i="33"/>
  <c r="AZ225" i="28"/>
  <c r="AZ37" i="33"/>
  <c r="AZ242" i="28"/>
  <c r="AZ54" i="33"/>
  <c r="AZ236" i="28"/>
  <c r="AZ48" i="33"/>
  <c r="AZ228" i="28"/>
  <c r="AZ40" i="33"/>
  <c r="AZ220" i="28"/>
  <c r="AZ32" i="33"/>
  <c r="AZ239" i="28"/>
  <c r="AZ51" i="33"/>
  <c r="AZ231" i="28"/>
  <c r="AZ43" i="33"/>
  <c r="AZ223" i="28"/>
  <c r="AZ35" i="33"/>
  <c r="AZ234" i="28"/>
  <c r="AZ46" i="33"/>
  <c r="AV243" i="28"/>
  <c r="AV55" i="33"/>
  <c r="AV242" i="28"/>
  <c r="AV54" i="33"/>
  <c r="AV239" i="28"/>
  <c r="AV51" i="33"/>
  <c r="AN238" i="28"/>
  <c r="AO50" i="33"/>
  <c r="AV237" i="28"/>
  <c r="AV49" i="33"/>
  <c r="AN233" i="28"/>
  <c r="AO45" i="33"/>
  <c r="AN232" i="28"/>
  <c r="AO44" i="33"/>
  <c r="AV228" i="28"/>
  <c r="AV40" i="33"/>
  <c r="AV227" i="28"/>
  <c r="AV39" i="33"/>
  <c r="AV226" i="28"/>
  <c r="AV38" i="33"/>
  <c r="AV223" i="28"/>
  <c r="AV35" i="33"/>
  <c r="AN222" i="28"/>
  <c r="AO34" i="33"/>
  <c r="AV221" i="28"/>
  <c r="AV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E20" i="20"/>
  <c r="S21"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S10" i="20"/>
  <c r="D14"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V256" i="29" l="1"/>
  <c r="V295" i="29"/>
  <c r="V342" i="29"/>
  <c r="R165" i="29"/>
  <c r="V211"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R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R17" i="33"/>
  <c r="E75" i="7"/>
  <c r="R16" i="33"/>
  <c r="E79" i="7"/>
  <c r="O79" i="7" s="1"/>
  <c r="R20" i="33"/>
  <c r="E71" i="7"/>
  <c r="R12" i="33"/>
  <c r="E77" i="7"/>
  <c r="R18" i="33"/>
  <c r="E74" i="7"/>
  <c r="R15" i="33"/>
  <c r="E80" i="7"/>
  <c r="R21" i="33"/>
  <c r="E78" i="7"/>
  <c r="O78" i="7" s="1"/>
  <c r="R19" i="33"/>
  <c r="E73" i="7"/>
  <c r="R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P39" i="33"/>
  <c r="AW23" i="28"/>
  <c r="AW39" i="33" s="1"/>
  <c r="AP45" i="33"/>
  <c r="AW29" i="28"/>
  <c r="AW233" i="28" s="1"/>
  <c r="AP52" i="33"/>
  <c r="AP54" i="33"/>
  <c r="AW242" i="28"/>
  <c r="AP38" i="33"/>
  <c r="AW226" i="28"/>
  <c r="AP43" i="33"/>
  <c r="AW231" i="28"/>
  <c r="AP33" i="33"/>
  <c r="AO221" i="28"/>
  <c r="AP47" i="33"/>
  <c r="AO235" i="28"/>
  <c r="AP49" i="33"/>
  <c r="AO237" i="28"/>
  <c r="AP51" i="33"/>
  <c r="AO239" i="28"/>
  <c r="AP42" i="33"/>
  <c r="AO230" i="28"/>
  <c r="AP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W52" i="33"/>
  <c r="AP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W45" i="33"/>
  <c r="BI38" i="28"/>
  <c r="AW54" i="33"/>
  <c r="AW38" i="33"/>
  <c r="BI36" i="28"/>
  <c r="BI23" i="28"/>
  <c r="AW43" i="33"/>
  <c r="BI22" i="28"/>
  <c r="BI27" i="28"/>
  <c r="BI29" i="28"/>
  <c r="AW239" i="28"/>
  <c r="BI35" i="28" s="1"/>
  <c r="AW51" i="33"/>
  <c r="AP48" i="33"/>
  <c r="AO236" i="28"/>
  <c r="AP50" i="33"/>
  <c r="AO238" i="28"/>
  <c r="AP37" i="33"/>
  <c r="AO225" i="28"/>
  <c r="AW224" i="28"/>
  <c r="BI20" i="28" s="1"/>
  <c r="AW36" i="33"/>
  <c r="AW237" i="28"/>
  <c r="BI33" i="28" s="1"/>
  <c r="AW49" i="33"/>
  <c r="AP34" i="33"/>
  <c r="AO222" i="28"/>
  <c r="AP46" i="33"/>
  <c r="AO234" i="28"/>
  <c r="AP44" i="33"/>
  <c r="AO232" i="28"/>
  <c r="AW230" i="28"/>
  <c r="BI26" i="28" s="1"/>
  <c r="AW42" i="33"/>
  <c r="AW221" i="28"/>
  <c r="BI17" i="28" s="1"/>
  <c r="AW33" i="33"/>
  <c r="AP31" i="33"/>
  <c r="AO219" i="28"/>
  <c r="AP41" i="33"/>
  <c r="AO229" i="28"/>
  <c r="AP53" i="33"/>
  <c r="AO241" i="28"/>
  <c r="AP35" i="33"/>
  <c r="AO223" i="28"/>
  <c r="AP55" i="33"/>
  <c r="AO243" i="28"/>
  <c r="AP32" i="33"/>
  <c r="AO220" i="28"/>
  <c r="AW228" i="28"/>
  <c r="BI24" i="28" s="1"/>
  <c r="AW40" i="33"/>
  <c r="AW235" i="28"/>
  <c r="BI31" i="28" s="1"/>
  <c r="AW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C13" i="33" s="1"/>
  <c r="F36" i="7"/>
  <c r="F104" i="30"/>
  <c r="F272" i="7"/>
  <c r="F273" i="7"/>
  <c r="F237" i="7"/>
  <c r="F236" i="7"/>
  <c r="F201" i="7"/>
  <c r="F200" i="7"/>
  <c r="AW220" i="28"/>
  <c r="BI16" i="28" s="1"/>
  <c r="AW32" i="33"/>
  <c r="AW243" i="28"/>
  <c r="BI39" i="28" s="1"/>
  <c r="AW55" i="33"/>
  <c r="AW219" i="28"/>
  <c r="BI15" i="28" s="1"/>
  <c r="AW31" i="33"/>
  <c r="AW241" i="28"/>
  <c r="BI37" i="28" s="1"/>
  <c r="AW53" i="33"/>
  <c r="AW229" i="28"/>
  <c r="BI25" i="28" s="1"/>
  <c r="AW41" i="33"/>
  <c r="AW222" i="28"/>
  <c r="BI18" i="28" s="1"/>
  <c r="AW34" i="33"/>
  <c r="AW223" i="28"/>
  <c r="BI19" i="28" s="1"/>
  <c r="AW35" i="33"/>
  <c r="AW232" i="28"/>
  <c r="BI28" i="28" s="1"/>
  <c r="AW44" i="33"/>
  <c r="AW234" i="28"/>
  <c r="BI30" i="28" s="1"/>
  <c r="AW46" i="33"/>
  <c r="AW238" i="28"/>
  <c r="BI34" i="28" s="1"/>
  <c r="AW50" i="33"/>
  <c r="AW236" i="28"/>
  <c r="BI32" i="28" s="1"/>
  <c r="AW48" i="33"/>
  <c r="AW225" i="28"/>
  <c r="BI21" i="28" s="1"/>
  <c r="AW37" i="33"/>
  <c r="L141" i="26"/>
  <c r="V191" i="26" s="1"/>
  <c r="L531" i="26"/>
  <c r="F109" i="30"/>
  <c r="F41" i="7"/>
  <c r="S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S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S21" i="33"/>
  <c r="G42" i="7"/>
  <c r="L42" i="7"/>
  <c r="J42" i="7"/>
  <c r="F80" i="7"/>
  <c r="O80" i="7" s="1"/>
  <c r="I42" i="7"/>
  <c r="X42" i="7"/>
  <c r="K42" i="7"/>
  <c r="H42" i="7"/>
  <c r="V187" i="26"/>
  <c r="S19" i="33"/>
  <c r="F78" i="7"/>
  <c r="X40" i="7"/>
  <c r="G40" i="7"/>
  <c r="J40" i="7"/>
  <c r="L40" i="7"/>
  <c r="H40" i="7"/>
  <c r="I40" i="7"/>
  <c r="K40" i="7"/>
  <c r="P415" i="7"/>
  <c r="I415" i="7"/>
  <c r="J415" i="7"/>
  <c r="G415" i="7"/>
  <c r="K415" i="7"/>
  <c r="S17" i="33"/>
  <c r="X38" i="7"/>
  <c r="J38" i="7"/>
  <c r="G38" i="7"/>
  <c r="L38" i="7"/>
  <c r="I38" i="7"/>
  <c r="F76" i="7"/>
  <c r="H38" i="7"/>
  <c r="K38" i="7"/>
  <c r="H276" i="26"/>
  <c r="V314" i="26"/>
  <c r="V331" i="26"/>
  <c r="V332" i="26"/>
  <c r="V310" i="26"/>
  <c r="V321" i="26"/>
  <c r="E276" i="26"/>
  <c r="V276" i="26" s="1"/>
  <c r="V317" i="26"/>
  <c r="P379" i="7"/>
  <c r="J379" i="7"/>
  <c r="K379" i="7"/>
  <c r="I379" i="7"/>
  <c r="G379" i="7"/>
  <c r="S18" i="33"/>
  <c r="K39" i="7"/>
  <c r="F77" i="7"/>
  <c r="O77" i="7" s="1"/>
  <c r="J39" i="7"/>
  <c r="X39" i="7"/>
  <c r="L39" i="7"/>
  <c r="I39" i="7"/>
  <c r="G39" i="7"/>
  <c r="H39" i="7"/>
  <c r="S16" i="33"/>
  <c r="L37" i="7"/>
  <c r="I37" i="7"/>
  <c r="F75" i="7"/>
  <c r="G37" i="7"/>
  <c r="H37" i="7"/>
  <c r="J37" i="7"/>
  <c r="X37" i="7"/>
  <c r="K37" i="7"/>
  <c r="S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S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U21" i="33"/>
  <c r="X21" i="33"/>
  <c r="AC42" i="7"/>
  <c r="V21" i="33"/>
  <c r="AA42" i="7"/>
  <c r="AB42" i="7"/>
  <c r="W21" i="33"/>
  <c r="AD42" i="7"/>
  <c r="Y21" i="33"/>
  <c r="T21" i="33"/>
  <c r="Y42" i="7"/>
  <c r="AB40" i="7"/>
  <c r="W19" i="33"/>
  <c r="Y40" i="7"/>
  <c r="T19" i="33"/>
  <c r="AA40" i="7"/>
  <c r="V19" i="33"/>
  <c r="AC40" i="7"/>
  <c r="X19" i="33"/>
  <c r="Z40" i="7"/>
  <c r="U19" i="33"/>
  <c r="AD40" i="7"/>
  <c r="Y19" i="33"/>
  <c r="W17" i="33"/>
  <c r="AB38" i="7"/>
  <c r="Z38" i="7"/>
  <c r="U17" i="33"/>
  <c r="X17" i="33"/>
  <c r="AC38" i="7"/>
  <c r="V17" i="33"/>
  <c r="AA38" i="7"/>
  <c r="AD38" i="7"/>
  <c r="Y17" i="33"/>
  <c r="T17" i="33"/>
  <c r="T18" i="33"/>
  <c r="Y39" i="7"/>
  <c r="W18" i="33"/>
  <c r="AB39" i="7"/>
  <c r="V18" i="33"/>
  <c r="AA39" i="7"/>
  <c r="Y18" i="33"/>
  <c r="AD39" i="7"/>
  <c r="AC39" i="7"/>
  <c r="X18" i="33"/>
  <c r="U18" i="33"/>
  <c r="Z39" i="7"/>
  <c r="W16" i="33"/>
  <c r="V16" i="33"/>
  <c r="AA37" i="7"/>
  <c r="Z37" i="7"/>
  <c r="U16" i="33"/>
  <c r="AD37" i="7"/>
  <c r="Y16" i="33"/>
  <c r="AC37" i="7"/>
  <c r="X16" i="33"/>
  <c r="T16" i="33"/>
  <c r="Y37" i="7"/>
  <c r="U15" i="33"/>
  <c r="Z36" i="7"/>
  <c r="AB36" i="7"/>
  <c r="W15" i="33"/>
  <c r="AD36" i="7"/>
  <c r="Y15" i="33"/>
  <c r="AC36" i="7"/>
  <c r="X15" i="33"/>
  <c r="V15" i="33"/>
  <c r="AA36" i="7"/>
  <c r="Y36" i="7"/>
  <c r="T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W14" i="33"/>
  <c r="T13" i="33"/>
  <c r="V20" i="33"/>
  <c r="AA41" i="7"/>
  <c r="T20" i="33"/>
  <c r="Y41" i="7"/>
  <c r="X14" i="33"/>
  <c r="AC35" i="7"/>
  <c r="V12" i="33"/>
  <c r="AA33" i="7"/>
  <c r="AA35" i="7"/>
  <c r="V14" i="33"/>
  <c r="U14" i="33"/>
  <c r="Z35" i="7"/>
  <c r="X12" i="33"/>
  <c r="AC33" i="7"/>
  <c r="V13" i="33"/>
  <c r="AA34" i="7"/>
  <c r="W12" i="33"/>
  <c r="AB33" i="7"/>
  <c r="E537" i="26"/>
  <c r="V537" i="26" s="1"/>
  <c r="W20" i="33"/>
  <c r="AB41" i="7"/>
  <c r="U12" i="33"/>
  <c r="Z33" i="7"/>
  <c r="W13" i="33"/>
  <c r="AB34" i="7"/>
  <c r="Y12" i="33"/>
  <c r="AD33" i="7"/>
  <c r="Q214" i="28"/>
  <c r="Z34" i="7"/>
  <c r="U13" i="33"/>
  <c r="AD34" i="7"/>
  <c r="Y13" i="33"/>
  <c r="Y20" i="33"/>
  <c r="AD41" i="7"/>
  <c r="X20" i="33"/>
  <c r="AC41" i="7"/>
  <c r="Y14" i="33"/>
  <c r="AD35" i="7"/>
  <c r="T14" i="33"/>
  <c r="Y35" i="7"/>
  <c r="X13" i="33"/>
  <c r="AC34" i="7"/>
  <c r="V586" i="26"/>
  <c r="U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H17" i="33"/>
  <c r="AH16" i="33"/>
  <c r="AH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P29" i="33"/>
  <c r="AW13" i="28"/>
  <c r="BA11" i="28"/>
  <c r="BA27" i="33" s="1"/>
  <c r="AS27" i="33"/>
  <c r="AY215" i="28"/>
  <c r="AY27" i="33"/>
  <c r="AS215" i="28"/>
  <c r="AO217" i="28"/>
  <c r="V407" i="26" l="1"/>
  <c r="E408" i="26"/>
  <c r="AW217" i="28"/>
  <c r="AW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G369" i="7"/>
  <c r="H369" i="7"/>
  <c r="AE369" i="7"/>
  <c r="P367" i="7"/>
  <c r="J367" i="7"/>
  <c r="G367" i="7"/>
  <c r="Q367" i="7"/>
  <c r="M367" i="7"/>
  <c r="L367" i="7"/>
  <c r="S367" i="7"/>
  <c r="AG367" i="7"/>
  <c r="O367" i="7" s="1"/>
  <c r="F367" i="7"/>
  <c r="I367" i="7"/>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AE390" i="7"/>
  <c r="AG411" i="7"/>
  <c r="O411" i="7" s="1"/>
  <c r="P411" i="7"/>
  <c r="AB411" i="7"/>
  <c r="G411" i="7"/>
  <c r="J411" i="7"/>
  <c r="H411" i="7"/>
  <c r="F411" i="7"/>
  <c r="L411" i="7"/>
  <c r="M411" i="7"/>
  <c r="S411" i="7"/>
  <c r="R411" i="7"/>
  <c r="Q411" i="7"/>
  <c r="I411" i="7"/>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514" i="7" l="1"/>
  <c r="N369" i="7"/>
  <c r="N297" i="7"/>
  <c r="K366" i="7"/>
  <c r="K390" i="7"/>
  <c r="K411" i="7"/>
  <c r="K280" i="7"/>
  <c r="K367" i="7"/>
  <c r="N300" i="7"/>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F105" i="3"/>
  <c r="I133" i="3"/>
  <c r="L133" i="3"/>
  <c r="S133" i="3"/>
  <c r="C133" i="3"/>
  <c r="Q105" i="3"/>
  <c r="R133" i="3"/>
  <c r="B133" i="3"/>
  <c r="O133" i="3"/>
  <c r="P133" i="3"/>
  <c r="Q133" i="3"/>
  <c r="M133" i="3"/>
  <c r="N133" i="3"/>
  <c r="K133" i="3"/>
  <c r="J133" i="3"/>
  <c r="F133" i="3"/>
  <c r="E133" i="3"/>
  <c r="D133" i="3"/>
  <c r="H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P26" i="33" s="1"/>
  <c r="O14" i="28"/>
  <c r="J10" i="28"/>
  <c r="J26" i="33" s="1"/>
  <c r="J14" i="28"/>
  <c r="J30" i="33" s="1"/>
  <c r="I10" i="28"/>
  <c r="I26" i="33" s="1"/>
  <c r="J32" i="16"/>
  <c r="AE13" i="33" s="1"/>
  <c r="I11" i="28"/>
  <c r="I27" i="33" s="1"/>
  <c r="I12" i="28"/>
  <c r="I112" i="30"/>
  <c r="J11" i="28"/>
  <c r="J27" i="33" s="1"/>
  <c r="J12" i="28"/>
  <c r="J28" i="33" s="1"/>
  <c r="O11" i="28"/>
  <c r="O27" i="33" s="1"/>
  <c r="P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104" i="3"/>
  <c r="F102" i="3"/>
  <c r="F97" i="3"/>
  <c r="Q96" i="3"/>
  <c r="F89" i="3"/>
  <c r="Q106" i="3"/>
  <c r="F94" i="3"/>
  <c r="F99" i="3"/>
  <c r="Q100" i="3"/>
  <c r="F95" i="3"/>
  <c r="Q104" i="3"/>
  <c r="Q90" i="3"/>
  <c r="Q92" i="3"/>
  <c r="F96" i="3"/>
  <c r="F101" i="3"/>
  <c r="F90" i="3"/>
  <c r="Q102" i="3"/>
  <c r="F106" i="3"/>
  <c r="Q91" i="3"/>
  <c r="Q101" i="3"/>
  <c r="F98" i="3"/>
  <c r="Q97" i="3"/>
  <c r="Q103" i="3"/>
  <c r="F91" i="3"/>
  <c r="F100" i="3"/>
  <c r="Q89" i="3"/>
  <c r="Q99" i="3"/>
  <c r="Q93" i="3"/>
  <c r="F92" i="3"/>
  <c r="Q94" i="3"/>
  <c r="Q98" i="3"/>
  <c r="Q95" i="3"/>
  <c r="F93" i="3"/>
  <c r="F103"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P30" i="33" s="1"/>
  <c r="O218" i="28"/>
  <c r="K11" i="28"/>
  <c r="O215" i="28"/>
  <c r="AH102" i="10"/>
  <c r="U112" i="30"/>
  <c r="T112" i="30"/>
  <c r="O28" i="33"/>
  <c r="P28" i="33" s="1"/>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V30" i="33"/>
  <c r="AN218" i="28"/>
  <c r="AO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X30" i="33"/>
  <c r="AX218" i="28"/>
  <c r="M102" i="7"/>
  <c r="N101" i="30"/>
  <c r="N102" i="30"/>
  <c r="BJ89" i="3" a="1"/>
  <c r="V19" i="26"/>
  <c r="E20" i="26"/>
  <c r="E21" i="29"/>
  <c r="G246" i="31"/>
  <c r="G128" i="31"/>
  <c r="E86" i="26" l="1"/>
  <c r="V86" i="26" s="1"/>
  <c r="E280" i="26"/>
  <c r="V279" i="26"/>
  <c r="V344" i="26"/>
  <c r="E345" i="26"/>
  <c r="AR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Z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R174" i="7"/>
  <c r="Q174" i="7"/>
  <c r="F174" i="7"/>
  <c r="J174" i="7"/>
  <c r="I174" i="7"/>
  <c r="M174" i="7"/>
  <c r="L174" i="7"/>
  <c r="AE174" i="7"/>
  <c r="AG174" i="7"/>
  <c r="O174" i="7" s="1"/>
  <c r="K217" i="28"/>
  <c r="BA217" i="28"/>
  <c r="AV13" i="28"/>
  <c r="AN13" i="28"/>
  <c r="I214" i="28"/>
  <c r="K10" i="28"/>
  <c r="AZ10" i="28" s="1"/>
  <c r="AB174" i="7" l="1"/>
  <c r="H174" i="7"/>
  <c r="G174" i="7"/>
  <c r="D168" i="7"/>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O29" i="33"/>
  <c r="AN26" i="33"/>
  <c r="K26" i="33"/>
  <c r="AZ217" i="28"/>
  <c r="AZ29" i="33"/>
  <c r="AV217" i="28"/>
  <c r="AV29" i="33"/>
  <c r="N174" i="7"/>
  <c r="AN11" i="28"/>
  <c r="AV11" i="28"/>
  <c r="AV10" i="28"/>
  <c r="AV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K194" i="7" s="1"/>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O28" i="33"/>
  <c r="AV215" i="28"/>
  <c r="AV27" i="33"/>
  <c r="AV216" i="28"/>
  <c r="AV28" i="33"/>
  <c r="AN215" i="28"/>
  <c r="AO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O26" i="33"/>
  <c r="AZ215" i="28"/>
  <c r="AZ27" i="33"/>
  <c r="AZ214" i="28"/>
  <c r="AZ26" i="33"/>
  <c r="AZ216" i="28"/>
  <c r="AZ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851" i="29"/>
  <c r="E750" i="29"/>
  <c r="E675" i="29"/>
  <c r="E442" i="29"/>
  <c r="E178" i="29"/>
  <c r="E10" i="29"/>
  <c r="E208" i="26"/>
  <c r="E354" i="29"/>
  <c r="E323" i="29"/>
  <c r="E437" i="26"/>
  <c r="E598" i="26"/>
  <c r="E273" i="26"/>
  <c r="E46" i="29"/>
  <c r="E103" i="29"/>
  <c r="E411" i="29"/>
  <c r="E177" i="26"/>
  <c r="E567" i="26"/>
  <c r="E222" i="29"/>
  <c r="E543" i="29"/>
  <c r="E455" i="29"/>
  <c r="E372" i="26"/>
  <c r="E191" i="29"/>
  <c r="E794" i="29"/>
  <c r="E662" i="29"/>
  <c r="E403" i="26"/>
  <c r="E719" i="29"/>
  <c r="E47" i="26"/>
  <c r="E338" i="26"/>
  <c r="I2" i="29"/>
  <c r="E502" i="26"/>
  <c r="E13" i="26"/>
  <c r="E807" i="29"/>
  <c r="E15" i="29"/>
  <c r="E574" i="29"/>
  <c r="E632" i="26"/>
  <c r="E631" i="29"/>
  <c r="E307" i="26"/>
  <c r="E235" i="29"/>
  <c r="I2" i="26"/>
  <c r="E310" i="29"/>
  <c r="E706" i="29"/>
  <c r="E468" i="26"/>
  <c r="E112" i="26"/>
  <c r="E242" i="26"/>
  <c r="E398" i="29"/>
  <c r="E143" i="26"/>
  <c r="E882" i="29"/>
  <c r="E618" i="29"/>
  <c r="D10" i="9"/>
  <c r="E486" i="29"/>
  <c r="E279" i="29"/>
  <c r="E59" i="29"/>
  <c r="E147" i="29"/>
  <c r="E838" i="29"/>
  <c r="E90" i="29"/>
  <c r="E587" i="29"/>
  <c r="E530" i="29"/>
  <c r="E266" i="29"/>
  <c r="E367" i="29"/>
  <c r="H2" i="28"/>
  <c r="E134" i="29"/>
  <c r="D6" i="28"/>
  <c r="E533" i="26"/>
  <c r="E499" i="29"/>
  <c r="E763" i="29"/>
  <c r="E78" i="26"/>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AA13" i="33" s="1"/>
  <c r="H25" i="16"/>
  <c r="BA10" i="28"/>
  <c r="BA26" i="33" s="1"/>
  <c r="AS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Y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S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BA30" i="33"/>
  <c r="BA218" i="28"/>
  <c r="AY30" i="33"/>
  <c r="AY218" i="28"/>
  <c r="AW218" i="28"/>
  <c r="AW30" i="33"/>
  <c r="AP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P27" i="33"/>
  <c r="AO215" i="28"/>
  <c r="AP26" i="33"/>
  <c r="AO214" i="28"/>
  <c r="AP28" i="33"/>
  <c r="AO216" i="28"/>
  <c r="AD170" i="7" l="1"/>
  <c r="AD184" i="7"/>
  <c r="AD179" i="7"/>
  <c r="AD183" i="7"/>
  <c r="AD189" i="7"/>
  <c r="K32" i="16"/>
  <c r="AG13" i="33" s="1"/>
  <c r="N27" i="16"/>
  <c r="AI17" i="33" s="1"/>
  <c r="K84" i="7"/>
  <c r="K85" i="7" s="1"/>
  <c r="K86" i="7" s="1"/>
  <c r="AI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W27" i="33"/>
  <c r="AW215" i="28"/>
  <c r="BI11" i="28" s="1"/>
  <c r="AW216" i="28"/>
  <c r="BI12" i="28" s="1"/>
  <c r="AW28" i="33"/>
  <c r="AW26" i="33"/>
  <c r="AW214" i="28"/>
  <c r="BI10" i="28" s="1"/>
  <c r="AD21" i="33" l="1"/>
  <c r="AD19" i="33"/>
  <c r="AT30" i="33"/>
  <c r="Q30" i="33"/>
  <c r="AM30" i="33"/>
  <c r="S12" i="33"/>
  <c r="E30" i="33"/>
  <c r="T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<sst xmlns="http://schemas.openxmlformats.org/spreadsheetml/2006/main" count="7309" uniqueCount="4265">
  <si>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</si>
  <si>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</si>
  <si>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</si>
  <si>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</si>
  <si>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</si>
  <si>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</si>
  <si>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</si>
  <si>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</si>
  <si>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</si>
  <si>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</si>
  <si>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</si>
  <si>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</si>
  <si>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</si>
  <si>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</si>
  <si>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</si>
  <si>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</si>
  <si>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</si>
  <si>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</si>
  <si>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</si>
  <si>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</si>
  <si>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</si>
  <si>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</si>
  <si>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</si>
  <si>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</si>
  <si>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</si>
  <si>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</si>
  <si>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</si>
  <si>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</si>
  <si>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</si>
  <si>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</si>
  <si>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</si>
  <si>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</si>
  <si>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</si>
  <si>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</si>
  <si>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</si>
  <si>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</si>
  <si>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</si>
  <si>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</si>
  <si>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</si>
  <si>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</si>
  <si>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</si>
  <si>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</si>
  <si>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</si>
  <si>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</si>
  <si>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</si>
  <si>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</si>
  <si>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</si>
  <si>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</si>
  <si>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</si>
  <si>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</si>
  <si>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</si>
  <si>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</si>
  <si>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</si>
  <si>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</si>
  <si>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</si>
  <si>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</si>
  <si>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</si>
  <si>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</si>
  <si>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</si>
  <si>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</si>
  <si>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</si>
  <si>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</si>
  <si>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</si>
  <si>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</si>
  <si>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</si>
  <si>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</si>
  <si>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</si>
  <si>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</si>
  <si>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</si>
  <si>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</si>
  <si>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</si>
  <si>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</si>
  <si>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</si>
  <si>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</si>
  <si>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</si>
  <si>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</si>
  <si>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</si>
  <si>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</si>
  <si>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</si>
  <si>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</si>
  <si>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</si>
  <si>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</si>
  <si>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</si>
  <si>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</si>
  <si>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</si>
  <si>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</si>
  <si>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</si>
  <si>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</si>
  <si>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</si>
  <si>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</si>
  <si>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</si>
  <si>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</si>
  <si>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</si>
  <si>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</si>
  <si>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</si>
  <si>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</si>
  <si>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</si>
  <si>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</si>
  <si>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</si>
  <si>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</si>
  <si>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</si>
  <si>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</si>
  <si>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</si>
  <si>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</si>
  <si>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</si>
  <si>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</si>
  <si>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</si>
  <si>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</si>
  <si>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</si>
  <si>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</si>
  <si>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</si>
  <si>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</si>
  <si>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</si>
  <si>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</si>
  <si>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</si>
  <si>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</si>
  <si>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</si>
  <si>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</si>
  <si>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</si>
  <si>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</si>
  <si>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</si>
  <si>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</si>
  <si>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</si>
  <si>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</si>
  <si>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</si>
  <si>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</si>
  <si>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</si>
  <si>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</si>
  <si>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</si>
  <si>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</si>
  <si>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</si>
  <si>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</si>
  <si>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</si>
  <si>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</si>
  <si>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</si>
  <si>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</si>
  <si>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</si>
  <si>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</si>
  <si>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</si>
  <si>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</si>
  <si>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</si>
  <si>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</si>
  <si>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</si>
  <si>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</si>
  <si>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</si>
  <si>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</si>
  <si>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</si>
  <si>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</si>
  <si>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</si>
  <si>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</si>
  <si>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</si>
  <si>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</si>
  <si>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</si>
  <si>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</si>
  <si>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</si>
  <si>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</si>
  <si>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</si>
  <si>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</si>
  <si>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</si>
  <si>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</si>
  <si>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</si>
  <si>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</si>
  <si>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</si>
  <si>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</si>
  <si>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</si>
  <si>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</si>
  <si>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</si>
  <si>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</si>
  <si>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</si>
  <si>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</si>
  <si>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</si>
  <si>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</si>
  <si>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</si>
  <si>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</si>
  <si>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</si>
  <si>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</si>
  <si>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</si>
  <si>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</si>
  <si>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</si>
  <si>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</si>
  <si>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</si>
  <si>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</si>
  <si>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</si>
  <si>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</si>
  <si>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</si>
  <si>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</si>
  <si>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</si>
  <si>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</si>
  <si>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</si>
  <si>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</si>
  <si>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</si>
  <si>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</si>
  <si>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</si>
  <si>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</si>
  <si>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</si>
  <si>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</si>
  <si>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</si>
  <si>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</si>
  <si>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</si>
  <si>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</si>
  <si>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</si>
  <si>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</si>
  <si>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</si>
  <si>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</si>
  <si>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</si>
  <si>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</si>
  <si>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</si>
  <si>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</si>
  <si>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</si>
  <si>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</si>
  <si>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</si>
  <si>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</si>
  <si>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</si>
  <si>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</si>
  <si>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</si>
  <si>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</si>
  <si>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</si>
  <si>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</si>
  <si>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</si>
  <si>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</si>
  <si>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</si>
  <si>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</si>
  <si>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</si>
  <si>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</si>
  <si>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</si>
  <si>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</si>
  <si>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</si>
  <si>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</si>
  <si>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</si>
  <si>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</si>
  <si>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</si>
  <si>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</si>
  <si>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</si>
  <si>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</si>
  <si>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</si>
  <si>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</si>
  <si>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</si>
  <si>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</si>
  <si>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</si>
  <si>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</si>
  <si>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</si>
  <si>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</si>
  <si>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</si>
  <si>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</si>
  <si>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</si>
  <si>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</si>
  <si>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</si>
  <si>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</si>
  <si>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</si>
  <si>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</si>
  <si>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</si>
  <si>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</si>
  <si>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</si>
  <si>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</si>
  <si>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</si>
  <si>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</si>
  <si>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</si>
  <si>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</si>
  <si>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</si>
  <si>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</si>
  <si>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</si>
  <si>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</si>
  <si>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</si>
  <si>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</si>
  <si>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</si>
  <si>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</si>
  <si>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</si>
  <si>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</si>
  <si>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</si>
  <si>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</si>
  <si>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</si>
  <si>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</si>
  <si>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</si>
  <si>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</si>
  <si>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</si>
  <si>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</si>
  <si>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</si>
  <si>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</si>
  <si>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</si>
  <si>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</si>
  <si>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</si>
  <si>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</si>
  <si>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</si>
  <si>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</si>
  <si>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</si>
  <si>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</si>
  <si>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</si>
  <si>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</si>
  <si>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</si>
  <si>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</si>
  <si>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</si>
  <si>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</si>
  <si>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</si>
  <si>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</si>
  <si>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</si>
  <si>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</si>
  <si>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</si>
  <si>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</si>
  <si>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</si>
  <si>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</si>
  <si>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</si>
  <si>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</si>
  <si>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</si>
  <si>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</si>
  <si>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</si>
  <si>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</si>
  <si>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</si>
  <si>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</si>
  <si>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</si>
  <si>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</si>
  <si>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</si>
  <si>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</si>
  <si>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</si>
  <si>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</si>
  <si>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</si>
  <si>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</si>
  <si>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</si>
  <si>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</si>
  <si>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</si>
  <si>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</si>
  <si>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</si>
  <si>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</si>
  <si>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</si>
  <si>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</si>
  <si>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</si>
  <si>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</si>
  <si>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</si>
  <si>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</si>
  <si>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</si>
  <si>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</si>
  <si>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</si>
  <si>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</si>
  <si>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</si>
  <si>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</si>
  <si>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</si>
  <si>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</si>
  <si>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</si>
  <si>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</si>
  <si>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</si>
  <si>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</si>
  <si>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</si>
  <si>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</si>
  <si>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</si>
  <si>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</si>
  <si>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</si>
  <si>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</si>
  <si>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</si>
  <si>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</si>
  <si>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</si>
  <si>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</si>
  <si>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</si>
  <si>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</si>
  <si>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</si>
  <si>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</si>
  <si>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</si>
  <si>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</si>
  <si>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</si>
  <si>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</si>
  <si>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</si>
  <si>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</si>
  <si>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</si>
  <si>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</si>
  <si>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</si>
  <si>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</si>
  <si>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</si>
  <si>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</si>
  <si>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</si>
  <si>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</si>
  <si>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</si>
  <si>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</si>
  <si>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</si>
  <si>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</si>
  <si>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</si>
  <si>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</si>
  <si>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</si>
  <si>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</si>
  <si>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</si>
  <si>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</si>
  <si>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</si>
  <si>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</si>
  <si>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</si>
  <si>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</si>
  <si>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</si>
  <si>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</si>
  <si>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</si>
  <si>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</si>
  <si>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</si>
  <si>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</si>
  <si>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</si>
  <si>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</si>
  <si>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</si>
  <si>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</si>
  <si>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</si>
  <si>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</si>
  <si>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</si>
  <si>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</si>
  <si>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</si>
  <si>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</si>
  <si>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</si>
  <si>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</si>
  <si>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</si>
  <si>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</si>
  <si>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</si>
  <si>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</si>
  <si>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</si>
  <si>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</si>
  <si>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</si>
  <si>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</si>
  <si>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</si>
  <si>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</si>
  <si>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</si>
  <si>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</si>
  <si>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</si>
  <si>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</si>
  <si>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</si>
  <si>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</si>
  <si>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</si>
  <si>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</si>
  <si>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</si>
  <si>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</si>
  <si>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</si>
  <si>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</si>
  <si>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</si>
  <si>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</si>
  <si>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</si>
  <si>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</si>
  <si>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</si>
  <si>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</si>
  <si>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</si>
  <si>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</si>
  <si>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</si>
  <si>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</si>
  <si>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</si>
  <si>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</si>
  <si>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</si>
  <si>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</si>
  <si>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</si>
  <si>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</si>
  <si>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</si>
  <si>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</si>
  <si>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</si>
  <si>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</si>
  <si>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</si>
  <si>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</si>
  <si>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</si>
  <si>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</si>
  <si>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</si>
  <si>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</si>
  <si>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</si>
  <si>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</si>
  <si>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</si>
  <si>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</si>
  <si>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</si>
  <si>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</si>
  <si>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</si>
  <si>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</si>
  <si>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</si>
  <si>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</si>
  <si>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</si>
  <si>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</si>
  <si>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</si>
  <si>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</si>
  <si>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</si>
  <si>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</si>
  <si>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</si>
  <si>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</si>
  <si>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</si>
  <si>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</si>
  <si>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</si>
  <si>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</si>
  <si>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</si>
  <si>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</si>
  <si>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</si>
  <si>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</si>
  <si>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</si>
  <si>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</si>
  <si>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</si>
  <si>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</si>
  <si>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</si>
  <si>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</si>
  <si>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</si>
  <si>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</si>
  <si>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</si>
  <si>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</si>
  <si>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</si>
  <si>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</si>
  <si>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</si>
  <si>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</si>
  <si>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</si>
  <si>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</si>
  <si>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</si>
  <si>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</si>
  <si>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</si>
  <si>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</si>
  <si>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</si>
  <si>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</si>
  <si>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</si>
  <si>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</si>
  <si>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</si>
  <si>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</si>
  <si>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</si>
  <si>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</si>
  <si>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</si>
  <si>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</si>
  <si>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</si>
  <si>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</si>
  <si>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</si>
  <si>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</si>
  <si>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</si>
  <si>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</si>
  <si>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</si>
  <si>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</si>
  <si>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</si>
  <si>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</si>
  <si>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</si>
  <si>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</si>
  <si>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</si>
  <si>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</si>
  <si>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</si>
  <si>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</si>
  <si>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</si>
  <si>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</si>
  <si>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</si>
  <si>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</si>
  <si>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</si>
  <si>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</si>
  <si>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</si>
  <si>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</si>
  <si>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</si>
  <si>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</si>
  <si>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</si>
  <si>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</si>
  <si>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</si>
  <si>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</si>
  <si>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</si>
  <si>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</si>
  <si>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</si>
  <si>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</si>
  <si>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</si>
  <si>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</si>
  <si>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</si>
  <si>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</si>
  <si>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</si>
  <si>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</si>
  <si>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</si>
  <si>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</si>
  <si>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</si>
  <si>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</si>
  <si>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</si>
  <si>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</si>
  <si>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</si>
  <si>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</si>
  <si>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</si>
  <si>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</si>
  <si>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</si>
  <si>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</si>
  <si>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</si>
  <si>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</si>
  <si>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</si>
  <si>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</si>
  <si>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</si>
  <si>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</si>
  <si>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</si>
  <si>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</si>
  <si>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</si>
  <si>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</si>
  <si>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</si>
  <si>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</si>
  <si>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</si>
  <si>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</si>
  <si>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</si>
  <si>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</si>
  <si>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</si>
  <si>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</si>
  <si>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</si>
  <si>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</si>
  <si>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</si>
  <si>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</si>
  <si>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</si>
  <si>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</si>
  <si>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</si>
  <si>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</si>
  <si>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</si>
  <si>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</si>
  <si>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</si>
  <si>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</si>
  <si>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</si>
  <si>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</si>
  <si>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</si>
  <si>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</si>
  <si>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</si>
  <si>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</si>
  <si>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</si>
  <si>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</si>
  <si>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</si>
  <si>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</si>
  <si>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</si>
  <si>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</si>
  <si>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</si>
  <si>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</si>
  <si>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</si>
  <si>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</si>
  <si>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</si>
  <si>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</si>
  <si>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</si>
  <si>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</si>
  <si>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</si>
  <si>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</si>
  <si>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</si>
  <si>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</si>
  <si>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</si>
  <si>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</si>
  <si>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</si>
  <si>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</si>
  <si>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</si>
  <si>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</si>
  <si>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</si>
  <si>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</si>
  <si>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</si>
  <si>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</si>
  <si>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</si>
  <si>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</si>
  <si>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</si>
  <si>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</si>
  <si>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</si>
  <si>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</si>
  <si>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</si>
  <si>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</si>
  <si>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</si>
  <si>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</si>
  <si>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</si>
  <si>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</si>
  <si>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</si>
  <si>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</si>
  <si>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</si>
  <si>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</si>
  <si>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</si>
  <si>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</si>
  <si>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</si>
  <si>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</si>
  <si>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</si>
  <si>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</si>
  <si>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</si>
  <si>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</si>
  <si>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</si>
  <si>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</si>
  <si>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</si>
  <si>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</si>
  <si>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</si>
  <si>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</si>
  <si>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</si>
  <si>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</si>
  <si>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</si>
  <si>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</si>
  <si>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</si>
  <si>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</si>
  <si>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</si>
  <si>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</si>
  <si>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</si>
  <si>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</si>
  <si>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</si>
  <si>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</si>
  <si>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</si>
  <si>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</si>
  <si>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</si>
  <si>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</si>
  <si>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</si>
  <si>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</si>
  <si>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</si>
  <si>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</si>
  <si>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</si>
  <si>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</si>
  <si>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</si>
  <si>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</si>
  <si>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</si>
  <si>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</si>
  <si>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</si>
  <si>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</si>
  <si>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</si>
  <si>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</si>
  <si>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</si>
  <si>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</si>
  <si>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</si>
  <si>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</si>
  <si>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</si>
  <si>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</si>
  <si>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</si>
  <si>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</si>
  <si>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</si>
  <si>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</si>
  <si>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</si>
  <si>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</si>
  <si>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</si>
  <si>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</si>
  <si>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</si>
  <si>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</si>
  <si>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</si>
  <si>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</si>
  <si>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</si>
  <si>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</si>
  <si>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</si>
  <si>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</si>
  <si>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</si>
  <si>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</si>
  <si>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</si>
  <si>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</si>
  <si>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</si>
  <si>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</si>
  <si>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</si>
  <si>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</si>
  <si>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</si>
  <si>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</si>
  <si>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</si>
  <si>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</si>
  <si>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</si>
  <si>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</si>
  <si>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</si>
  <si>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</si>
  <si>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</si>
  <si>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</si>
  <si>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</si>
  <si>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</si>
  <si>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</si>
  <si>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</si>
  <si>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</si>
  <si>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</si>
  <si>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</si>
  <si>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</si>
  <si>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</si>
  <si>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</si>
  <si>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</si>
  <si>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</si>
  <si>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</si>
  <si>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</si>
  <si>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</si>
  <si>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</si>
  <si>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</si>
  <si>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</si>
  <si>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</si>
  <si>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</si>
  <si>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</si>
  <si>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</si>
  <si>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</si>
  <si>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</si>
  <si>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</si>
  <si>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</si>
  <si>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</si>
  <si>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</si>
  <si>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</si>
  <si>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</si>
  <si>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</si>
  <si>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</si>
  <si>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</si>
  <si>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</si>
  <si>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</si>
  <si>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</si>
  <si>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</si>
  <si>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</si>
  <si>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</si>
  <si>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</si>
  <si>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</si>
  <si>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</si>
  <si>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</si>
  <si>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</si>
  <si>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</si>
  <si>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</si>
  <si>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</si>
  <si>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</si>
  <si>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</si>
  <si>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</si>
  <si>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</si>
  <si>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</si>
  <si>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</si>
  <si>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</si>
  <si>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</si>
  <si>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</si>
  <si>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</si>
  <si>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</si>
  <si>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</si>
  <si>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</si>
  <si>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</si>
  <si>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</si>
  <si>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</si>
  <si>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</si>
  <si>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</si>
  <si>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</si>
  <si>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</si>
  <si>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</si>
  <si>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</si>
  <si>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</si>
  <si>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</si>
  <si>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</si>
  <si>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</si>
  <si>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</si>
  <si>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</si>
  <si>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</si>
  <si>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</si>
  <si>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</si>
  <si>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</si>
  <si>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</si>
  <si>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</si>
  <si>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</si>
  <si>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</si>
  <si>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</si>
  <si>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</si>
  <si>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</si>
  <si>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</si>
  <si>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</si>
  <si>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</si>
  <si>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</si>
  <si>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</si>
  <si>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</si>
  <si>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</si>
  <si>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</si>
  <si>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</si>
  <si>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</si>
  <si>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</si>
  <si>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</si>
  <si>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</si>
  <si>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</si>
  <si>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</si>
  <si>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</si>
  <si>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</si>
  <si>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</si>
  <si>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</si>
  <si>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</si>
  <si>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</si>
  <si>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</si>
  <si>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</si>
  <si>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</si>
  <si>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</si>
  <si>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</si>
  <si>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</si>
  <si>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</si>
  <si>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</si>
  <si>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</si>
  <si>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</si>
  <si>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</si>
  <si>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</si>
  <si>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</si>
  <si>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</si>
  <si>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</si>
  <si>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</si>
  <si>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</si>
  <si>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</si>
  <si>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</si>
  <si>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</si>
  <si>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</si>
  <si>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</si>
  <si>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</si>
  <si>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</si>
  <si>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</si>
  <si>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</si>
  <si>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</si>
  <si>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</si>
  <si>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</si>
  <si>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</si>
  <si>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</si>
  <si>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</si>
  <si>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</si>
  <si>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</si>
  <si>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</si>
  <si>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</si>
  <si>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</si>
  <si>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</si>
  <si>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</si>
  <si>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</si>
  <si>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</si>
  <si>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</si>
  <si>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</si>
  <si>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</si>
  <si>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</si>
  <si>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</si>
  <si>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</si>
  <si>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</si>
  <si>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</si>
  <si>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</si>
  <si>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</si>
  <si>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</si>
  <si>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</si>
  <si>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</si>
  <si>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</si>
  <si>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</si>
  <si>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</si>
  <si>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</si>
  <si>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</si>
  <si>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</si>
  <si>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</si>
  <si>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</si>
  <si>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</si>
  <si>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</si>
  <si>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</si>
  <si>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</si>
  <si>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</si>
  <si>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</si>
  <si>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</si>
  <si>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</si>
  <si>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</si>
  <si>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</si>
  <si>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</si>
  <si>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</si>
  <si>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</si>
  <si>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</si>
  <si>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</si>
  <si>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</si>
  <si>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</si>
  <si>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</si>
  <si>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</si>
  <si>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</si>
  <si>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</si>
  <si>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</si>
  <si>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</si>
  <si>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</si>
  <si>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</si>
  <si>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</si>
  <si>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</si>
  <si>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</si>
  <si>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</si>
  <si>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</si>
  <si>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</si>
  <si>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</si>
  <si>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</si>
  <si>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</si>
  <si>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</si>
  <si>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</si>
  <si>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</si>
  <si>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</si>
  <si>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</si>
  <si>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</si>
  <si>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</si>
  <si>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</si>
  <si>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</si>
  <si>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</si>
  <si>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</si>
  <si>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</si>
  <si>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</si>
  <si>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</si>
  <si>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</si>
  <si>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</si>
  <si>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</si>
  <si>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</si>
  <si>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</si>
  <si>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</si>
  <si>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</si>
  <si>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</si>
  <si>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</si>
  <si>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</si>
  <si>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</si>
  <si>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</si>
  <si>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</si>
  <si>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</si>
  <si>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</si>
  <si>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</si>
  <si>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</si>
  <si>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</si>
  <si>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</si>
  <si>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</si>
  <si>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</si>
  <si>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</si>
  <si>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</si>
  <si>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</si>
  <si>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</si>
  <si>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</si>
  <si>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</si>
  <si>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</si>
  <si>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</si>
  <si>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</si>
  <si>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</si>
  <si>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</si>
  <si>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</si>
  <si>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</si>
  <si>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</si>
  <si>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</si>
  <si>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</si>
  <si>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</si>
  <si>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</si>
  <si>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</si>
  <si>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</si>
  <si>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</si>
  <si>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</si>
  <si>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</si>
  <si>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</si>
  <si>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</si>
  <si>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</si>
  <si>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</si>
  <si>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</si>
  <si>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</si>
  <si>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</si>
  <si>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</si>
  <si>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</si>
  <si>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</si>
  <si>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</si>
  <si>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</si>
  <si>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</si>
  <si>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</si>
  <si>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</si>
  <si>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</si>
  <si>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</si>
  <si>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</si>
  <si>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</si>
  <si>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</si>
  <si>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</si>
  <si>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</si>
  <si>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</si>
  <si>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</si>
  <si>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</si>
  <si>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</si>
  <si>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</si>
  <si>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</si>
  <si>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</si>
  <si>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</si>
  <si>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</si>
  <si>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</si>
  <si>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</si>
  <si>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</si>
  <si>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</si>
  <si>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</si>
  <si>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</si>
  <si>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</si>
  <si>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</si>
  <si>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</si>
  <si>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</si>
  <si>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</si>
  <si>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</si>
  <si>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</si>
  <si>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</si>
  <si>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</si>
  <si>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</si>
  <si>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</si>
  <si>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</si>
  <si>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</si>
  <si>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</si>
  <si>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</si>
  <si>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</si>
  <si>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</si>
  <si>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</si>
  <si>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</si>
  <si>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</si>
  <si>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</si>
  <si>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</si>
  <si>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</si>
  <si>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</si>
  <si>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</si>
  <si>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</si>
  <si>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</si>
  <si>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</si>
  <si>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</si>
  <si>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</si>
  <si>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</si>
  <si>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</si>
  <si>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</si>
  <si>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</si>
  <si>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</si>
  <si>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</si>
  <si>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</si>
  <si>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</si>
  <si>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</si>
  <si>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</si>
  <si>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</si>
  <si>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</si>
  <si>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</si>
  <si>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</si>
  <si>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</si>
  <si>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</si>
  <si>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</si>
  <si>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</si>
  <si>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</si>
  <si>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</si>
  <si>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</si>
  <si>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</si>
  <si>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</si>
  <si>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</si>
  <si>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</si>
  <si>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</si>
  <si>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</si>
  <si>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</si>
  <si>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</si>
  <si>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</si>
  <si>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</si>
  <si>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</si>
  <si>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</si>
  <si>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</si>
  <si>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</si>
  <si>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</si>
  <si>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</si>
  <si>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</si>
  <si>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</si>
  <si>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</si>
  <si>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</si>
  <si>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</si>
  <si>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</si>
  <si>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</si>
  <si>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</si>
  <si>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</si>
  <si>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</si>
  <si>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</si>
  <si>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</si>
  <si>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</si>
  <si>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</si>
  <si>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</si>
  <si>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</si>
  <si>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</si>
  <si>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</si>
  <si>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</si>
  <si>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</si>
  <si>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</si>
  <si>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</si>
  <si>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</si>
  <si>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</si>
  <si>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</si>
  <si>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</si>
  <si>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</si>
  <si>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</si>
  <si>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</si>
  <si>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</si>
  <si>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</si>
  <si>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</si>
  <si>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</si>
  <si>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</si>
  <si>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</si>
  <si>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</si>
  <si>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</si>
  <si>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</si>
  <si>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</si>
  <si>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</si>
  <si>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</si>
  <si>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</si>
  <si>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</si>
  <si>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</si>
  <si>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</si>
  <si>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</si>
  <si>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</si>
  <si>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</si>
  <si>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</si>
  <si>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</si>
  <si>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</si>
  <si>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</si>
  <si>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</si>
  <si>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</si>
  <si>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</si>
  <si>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</si>
  <si>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</si>
  <si>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</si>
  <si>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</si>
  <si>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</si>
  <si>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</si>
  <si>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</si>
  <si>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</si>
  <si>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</si>
  <si>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</si>
  <si>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</si>
  <si>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</si>
  <si>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</si>
  <si>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</si>
  <si>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</si>
  <si>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</si>
  <si>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</si>
  <si>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</si>
  <si>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</si>
  <si>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</si>
  <si>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</si>
  <si>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</si>
  <si>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</si>
  <si>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</si>
  <si>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</si>
  <si>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</si>
  <si>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</si>
  <si>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</si>
  <si>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</si>
  <si>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</si>
  <si>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</si>
  <si>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</si>
  <si>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</si>
  <si>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</si>
  <si>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</si>
  <si>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</si>
  <si>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</si>
  <si>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</si>
  <si>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</si>
  <si>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</si>
  <si>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</si>
  <si>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</si>
  <si>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</si>
  <si>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</si>
  <si>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</si>
  <si>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</si>
  <si>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</si>
  <si>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</si>
  <si>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</si>
  <si>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</si>
  <si>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</si>
  <si>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</si>
  <si>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</si>
  <si>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</si>
  <si>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</si>
  <si>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</si>
  <si>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</si>
  <si>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</si>
  <si>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</si>
  <si>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</si>
  <si>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</si>
  <si>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</si>
  <si>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</si>
  <si>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</si>
  <si>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</si>
  <si>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</si>
  <si>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</si>
  <si>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</si>
  <si>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</si>
  <si>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</si>
  <si>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</si>
  <si>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</si>
  <si>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</si>
  <si>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</si>
  <si>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</si>
  <si>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</si>
  <si>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</si>
  <si>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</si>
  <si>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</si>
  <si>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</si>
  <si>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</si>
  <si>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</si>
  <si>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</si>
  <si>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</si>
  <si>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</si>
  <si>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</si>
  <si>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</si>
  <si>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</si>
  <si>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</si>
  <si>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</si>
  <si>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</si>
  <si>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</si>
  <si>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</si>
  <si>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</si>
  <si>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</si>
  <si>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</si>
  <si>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</si>
  <si>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</si>
  <si>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</si>
  <si>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</si>
  <si>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</si>
  <si>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</si>
  <si>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</si>
  <si>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</si>
  <si>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</si>
  <si>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</si>
  <si>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</si>
  <si>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</si>
  <si>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</si>
  <si>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</si>
  <si>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</si>
  <si>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</si>
  <si>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</si>
  <si>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</si>
  <si>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</si>
  <si>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</si>
  <si>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</si>
  <si>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</si>
  <si>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</si>
  <si>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</si>
  <si>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</si>
  <si>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</si>
  <si>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</si>
  <si>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</si>
  <si>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</si>
  <si>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</si>
  <si>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</si>
  <si>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</si>
  <si>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</si>
  <si>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</si>
  <si>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</si>
  <si>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</si>
  <si>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</si>
  <si>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</si>
  <si>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</si>
  <si>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</si>
  <si>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</si>
  <si>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</si>
  <si>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</si>
  <si>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</si>
  <si>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</si>
  <si>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</si>
  <si>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</si>
  <si>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</si>
  <si>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</si>
  <si>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</si>
  <si>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</si>
  <si>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</si>
  <si>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</si>
  <si>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</si>
  <si>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</si>
  <si>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</si>
  <si>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</si>
  <si>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</si>
  <si>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</si>
  <si>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</si>
  <si>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</si>
  <si>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</si>
  <si>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</si>
  <si>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</si>
  <si>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</si>
  <si>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</si>
  <si>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</si>
  <si>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</si>
  <si>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</si>
  <si>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</si>
  <si>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</si>
  <si>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</si>
  <si>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</si>
  <si>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</si>
  <si>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</si>
  <si>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</si>
  <si>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</si>
  <si>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</si>
  <si>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</si>
  <si>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</si>
  <si>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</si>
  <si>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</si>
  <si>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</si>
  <si>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</si>
  <si>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</si>
  <si>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</si>
  <si>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</si>
  <si>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</si>
  <si>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</si>
  <si>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</si>
  <si>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</si>
  <si>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</si>
  <si>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</si>
  <si>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</si>
  <si>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</si>
  <si>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</si>
  <si>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</si>
  <si>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</si>
  <si>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</si>
  <si>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</si>
  <si>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</si>
  <si>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</si>
  <si>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</si>
  <si>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</si>
  <si>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</si>
  <si>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</si>
  <si>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</si>
  <si>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</si>
  <si>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</si>
  <si>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</si>
  <si>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</si>
  <si>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</si>
  <si>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</si>
  <si>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</si>
  <si>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</si>
  <si>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</si>
  <si>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</si>
  <si>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</si>
  <si>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</si>
  <si>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</si>
  <si>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</si>
  <si>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</si>
  <si>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</si>
  <si>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</si>
  <si>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</si>
  <si>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</si>
  <si>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</si>
  <si>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</si>
  <si>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</si>
  <si>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</si>
  <si>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</si>
  <si>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</si>
  <si>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</si>
  <si>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</si>
  <si>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</si>
  <si>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</si>
  <si>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</si>
  <si>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</si>
  <si>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</si>
  <si>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</si>
  <si>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</si>
  <si>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</si>
  <si>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</si>
  <si>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</si>
  <si>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</si>
  <si>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</si>
  <si>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</si>
  <si>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</si>
  <si>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</si>
  <si>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</si>
  <si>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</si>
  <si>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</si>
  <si>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</si>
  <si>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</si>
  <si>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</si>
  <si>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</si>
  <si>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</si>
  <si>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</si>
  <si>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</si>
  <si>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</si>
  <si>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</si>
  <si>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</si>
  <si>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</si>
  <si>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</si>
  <si>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</si>
  <si>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</si>
  <si>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</si>
  <si>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</si>
  <si>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</si>
  <si>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</si>
  <si>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</si>
  <si>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</si>
  <si>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</si>
  <si>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</si>
  <si>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</si>
  <si>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</si>
  <si>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</si>
  <si>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</si>
  <si>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</si>
  <si>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</si>
  <si>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</si>
  <si>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</si>
  <si>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</si>
  <si>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</si>
  <si>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</si>
  <si>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</si>
  <si>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</si>
  <si>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</si>
  <si>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</si>
  <si>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</si>
  <si>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</si>
  <si>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</si>
  <si>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</si>
  <si>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</si>
  <si>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</si>
  <si>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</si>
  <si>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</si>
  <si>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</si>
  <si>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</si>
  <si>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</si>
  <si>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</si>
  <si>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</si>
  <si>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</si>
  <si>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</si>
  <si>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</si>
  <si>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</si>
  <si>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</si>
  <si>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</si>
  <si>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</si>
  <si>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</si>
  <si>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</si>
  <si>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</si>
  <si>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</si>
  <si>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</si>
  <si>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</si>
  <si>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</si>
  <si>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</si>
  <si>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</si>
  <si>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</si>
  <si>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</si>
  <si>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</si>
  <si>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</si>
  <si>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</si>
  <si>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</si>
  <si>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</si>
  <si>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</si>
  <si>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</si>
  <si>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</si>
  <si>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</si>
  <si>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</si>
  <si>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</si>
  <si>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</si>
  <si>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</si>
  <si>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</si>
  <si>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</si>
  <si>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</si>
  <si>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</si>
  <si>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</si>
  <si>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</si>
  <si>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</si>
  <si>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</si>
  <si>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</si>
  <si>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</si>
  <si>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</si>
  <si>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</si>
  <si>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</si>
  <si>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</si>
  <si>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</si>
  <si>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</si>
  <si>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</si>
  <si>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</si>
  <si>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</si>
  <si>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</si>
  <si>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</si>
  <si>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</si>
  <si>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</si>
  <si>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</si>
  <si>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</si>
  <si>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</si>
  <si>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</si>
  <si>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</si>
  <si>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</si>
  <si>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</si>
  <si>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</si>
  <si>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</si>
  <si>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</si>
  <si>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</si>
  <si>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</si>
  <si>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</si>
  <si>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</si>
  <si>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</si>
  <si>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</si>
  <si>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</si>
  <si>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</si>
  <si>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</si>
  <si>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</si>
  <si>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</si>
  <si>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</si>
  <si>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</si>
  <si>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</si>
  <si>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</si>
  <si>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</si>
  <si>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</si>
  <si>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</si>
  <si>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</si>
  <si>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</si>
  <si>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</si>
  <si>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</si>
  <si>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</si>
  <si>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</si>
  <si>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</si>
  <si>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</si>
  <si>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</si>
  <si>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</si>
  <si>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</si>
  <si>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</si>
  <si>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</si>
  <si>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</si>
  <si>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</si>
  <si>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</si>
  <si>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</si>
  <si>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</si>
  <si>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</si>
  <si>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</si>
  <si>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</si>
  <si>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</si>
  <si>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</si>
  <si>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</si>
  <si>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</si>
  <si>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</si>
  <si>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</si>
  <si>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</si>
  <si>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</si>
  <si>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</si>
  <si>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</si>
  <si>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</si>
  <si>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</si>
  <si>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</si>
  <si>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</si>
  <si>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</si>
  <si>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</si>
  <si>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</si>
  <si>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</si>
  <si>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</si>
  <si>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</si>
  <si>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</si>
  <si>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</si>
  <si>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</si>
  <si>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</si>
  <si>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</si>
  <si>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</si>
  <si>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</si>
  <si>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</si>
  <si>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</si>
  <si>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</si>
  <si>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</si>
  <si>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</si>
  <si>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</si>
  <si>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</si>
  <si>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</si>
  <si>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</si>
  <si>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</si>
  <si>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</si>
  <si>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</si>
  <si>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</si>
  <si>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</si>
  <si>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</si>
  <si>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</si>
  <si>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</si>
  <si>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</si>
  <si>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</si>
  <si>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</si>
  <si>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</si>
  <si>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</si>
  <si>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</si>
  <si>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</si>
  <si>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</si>
  <si>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</si>
  <si>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</si>
  <si>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</si>
  <si>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</si>
  <si>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</si>
  <si>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</si>
  <si>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</si>
  <si>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</si>
  <si>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</si>
  <si>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</si>
  <si>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</si>
  <si>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</si>
  <si>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</si>
  <si>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</si>
  <si>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</si>
  <si>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</si>
  <si>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</si>
  <si>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</si>
  <si>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</si>
  <si>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</si>
  <si>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</si>
  <si>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</si>
  <si>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</si>
  <si>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</si>
  <si>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</si>
  <si>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</si>
  <si>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</si>
  <si>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</si>
  <si>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</si>
  <si>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</si>
  <si>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</si>
  <si>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</si>
  <si>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</si>
  <si>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</si>
  <si>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</si>
  <si>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</si>
  <si>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</si>
  <si>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</si>
  <si>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</si>
  <si>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</si>
  <si>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</si>
  <si>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</si>
  <si>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</si>
  <si>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</si>
  <si>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</si>
  <si>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</si>
  <si>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</si>
  <si>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</si>
  <si>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</si>
  <si>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</si>
  <si>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</si>
  <si>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</si>
  <si>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</si>
  <si>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</si>
  <si>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</si>
  <si>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</si>
  <si>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</si>
  <si>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</si>
  <si>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</si>
  <si>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</si>
  <si>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</si>
  <si>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</si>
  <si>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</si>
  <si>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</si>
  <si>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</si>
  <si>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</si>
  <si>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</si>
  <si>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</si>
  <si>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</si>
  <si>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</si>
  <si>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</si>
  <si>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</si>
  <si>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</si>
  <si>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</si>
  <si>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</si>
  <si>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</si>
  <si>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</si>
  <si>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</si>
  <si>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</si>
  <si>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</si>
  <si>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</si>
  <si>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</si>
  <si>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</si>
  <si>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</si>
  <si>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</si>
  <si>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</si>
  <si>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</si>
  <si>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</si>
  <si>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</si>
  <si>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</si>
  <si>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</si>
  <si>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</si>
  <si>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</si>
  <si>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</si>
  <si>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</si>
  <si>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</si>
  <si>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</si>
  <si>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</si>
  <si>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</si>
  <si>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</si>
  <si>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</si>
  <si>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</si>
  <si>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</si>
  <si>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</si>
  <si>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</si>
  <si>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</si>
  <si>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</si>
  <si>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</si>
  <si>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</si>
  <si>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</si>
  <si>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</si>
  <si>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</si>
  <si>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</si>
  <si>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</si>
  <si>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</si>
  <si>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</si>
  <si>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</si>
  <si>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</si>
  <si>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</si>
  <si>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</si>
  <si>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</si>
  <si>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</si>
  <si>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</si>
  <si>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</si>
  <si>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</si>
  <si>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</si>
  <si>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</si>
  <si>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</si>
  <si>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</si>
  <si>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</si>
  <si>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</si>
  <si>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</si>
  <si>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</si>
  <si>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</si>
  <si>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</si>
  <si>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</si>
  <si>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</si>
  <si>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</si>
  <si>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</si>
  <si>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</si>
  <si>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</si>
  <si>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</si>
  <si>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</si>
  <si>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</si>
  <si>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</si>
  <si>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</si>
  <si>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</si>
  <si>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</si>
  <si>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</si>
  <si>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</si>
  <si>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</si>
  <si>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</si>
  <si>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</si>
  <si>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</si>
  <si>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</si>
  <si>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</si>
  <si>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</si>
  <si>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</si>
  <si>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</si>
  <si>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</si>
  <si>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</si>
  <si>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</si>
  <si>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</si>
  <si>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</si>
  <si>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</si>
  <si>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</si>
  <si>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</si>
  <si>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</si>
  <si>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</si>
  <si>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</si>
  <si>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</si>
  <si>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</si>
  <si>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</si>
  <si>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</si>
  <si>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</si>
  <si>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</si>
  <si>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</si>
  <si>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</si>
  <si>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</si>
  <si>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</si>
  <si>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</si>
  <si>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</si>
  <si>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</si>
  <si>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</si>
  <si>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</si>
  <si>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</si>
  <si>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</si>
  <si>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</si>
  <si>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</si>
  <si>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</si>
  <si>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</si>
  <si>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</si>
  <si>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</si>
  <si>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</si>
  <si>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</si>
  <si>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</si>
  <si>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</si>
  <si>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</si>
  <si>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</si>
  <si>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</si>
  <si>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</si>
  <si>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</si>
  <si>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</si>
  <si>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</si>
  <si>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</si>
  <si>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</si>
  <si>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</si>
  <si>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</si>
  <si>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</si>
  <si>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</si>
  <si>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</si>
  <si>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</si>
  <si>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</si>
  <si>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</si>
  <si>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</si>
  <si>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</si>
  <si>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</si>
  <si>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</si>
  <si>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</si>
  <si>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</si>
  <si>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</si>
  <si>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</si>
  <si>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</si>
  <si>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</si>
  <si>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</si>
  <si>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</si>
  <si>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</si>
  <si>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</si>
  <si>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</si>
  <si>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</si>
  <si>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</si>
  <si>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</si>
  <si>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</si>
  <si>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</si>
  <si>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</si>
  <si>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</si>
  <si>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</si>
  <si>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</si>
  <si>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</si>
  <si>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</si>
  <si>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</si>
  <si>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</si>
  <si>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</si>
  <si>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</si>
  <si>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</si>
  <si>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</si>
  <si>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</si>
  <si>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</si>
  <si>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</si>
  <si>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</si>
  <si>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</si>
  <si>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</si>
  <si>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</si>
  <si>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</si>
  <si>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</si>
  <si>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</si>
  <si>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</si>
  <si>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</si>
  <si>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</si>
  <si>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</si>
  <si>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</si>
  <si>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</si>
  <si>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</si>
  <si>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</si>
  <si>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</si>
  <si>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</si>
  <si>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</si>
  <si>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</si>
  <si>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</si>
  <si>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</si>
  <si>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</si>
  <si>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</si>
  <si>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</si>
  <si>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</si>
  <si>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</si>
  <si>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</si>
  <si>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</si>
  <si>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</si>
  <si>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</si>
  <si>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</si>
  <si>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</si>
  <si>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</si>
  <si>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</si>
  <si>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</si>
  <si>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</si>
  <si>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</si>
  <si>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</si>
  <si>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</si>
  <si>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</si>
  <si>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</si>
  <si>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</si>
  <si>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</si>
  <si>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</si>
  <si>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</si>
  <si>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</si>
  <si>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</si>
  <si>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</si>
  <si>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</si>
  <si>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</si>
  <si>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</si>
  <si>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</si>
  <si>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</si>
  <si>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</si>
  <si>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</si>
  <si>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</si>
  <si>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</si>
  <si>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</si>
  <si>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</si>
  <si>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</si>
  <si>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</si>
  <si>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</si>
  <si>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</si>
  <si>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</si>
  <si>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</si>
  <si>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</si>
  <si>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</si>
  <si>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</si>
  <si>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</si>
  <si>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</si>
  <si>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</si>
  <si>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</si>
  <si>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</si>
  <si>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</si>
  <si>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</si>
  <si>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</si>
  <si>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</si>
  <si>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</si>
  <si>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</si>
  <si>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</si>
  <si>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</si>
  <si>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</si>
  <si>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</si>
  <si>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</si>
  <si>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</si>
  <si>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</si>
  <si>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</si>
  <si>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</si>
  <si>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</si>
  <si>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</si>
  <si>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</si>
  <si>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</si>
  <si>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</si>
  <si>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</si>
  <si>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</si>
  <si>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</si>
  <si>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</si>
  <si>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</si>
  <si>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</si>
  <si>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</si>
  <si>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</si>
  <si>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</si>
  <si>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</si>
  <si>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</si>
  <si>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</si>
  <si>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</si>
  <si>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</si>
  <si>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</si>
  <si>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</si>
  <si>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</si>
  <si>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</si>
  <si>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</si>
  <si>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</si>
  <si>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</si>
  <si>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</si>
  <si>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</si>
  <si>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</si>
  <si>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</si>
  <si>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</si>
  <si>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</si>
  <si>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</si>
  <si>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</si>
  <si>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</si>
  <si>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</si>
  <si>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</si>
  <si>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</si>
  <si>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</si>
  <si>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</si>
  <si>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</si>
  <si>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</si>
  <si>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</si>
  <si>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</si>
  <si>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</si>
  <si>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</si>
  <si>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</si>
  <si>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</si>
  <si>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</si>
  <si>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</si>
  <si>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</si>
  <si>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</si>
  <si>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</si>
  <si>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</si>
  <si>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</si>
  <si>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</si>
  <si>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</si>
  <si>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</si>
  <si>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</si>
  <si>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</si>
  <si>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</si>
  <si>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</si>
  <si>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</si>
  <si>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</si>
  <si>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</si>
  <si>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</si>
  <si>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</si>
  <si>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</si>
  <si>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</si>
  <si>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</si>
  <si>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</si>
  <si>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</si>
  <si>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</si>
  <si>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</si>
  <si>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</si>
  <si>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</si>
  <si>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</si>
  <si>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</si>
  <si>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</si>
  <si>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</si>
  <si>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</si>
  <si>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</si>
  <si>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</si>
  <si>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</si>
  <si>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</si>
  <si>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</si>
  <si>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</si>
  <si>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</si>
  <si>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</si>
  <si>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</si>
  <si>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</si>
  <si>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</si>
  <si>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</si>
  <si>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</si>
  <si>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</si>
  <si>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</si>
  <si>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</si>
  <si>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</si>
  <si>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</si>
  <si>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</si>
  <si>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</si>
  <si>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</si>
  <si>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</si>
  <si>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</si>
  <si>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</si>
  <si>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</si>
  <si>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</si>
  <si>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</si>
  <si>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</si>
  <si>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</si>
  <si>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</si>
  <si>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</si>
  <si>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</si>
  <si>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</si>
  <si>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</si>
  <si>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</si>
  <si>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</si>
  <si>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</si>
  <si>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</si>
  <si>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</si>
  <si>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</si>
  <si>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</si>
  <si>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</si>
  <si>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</si>
  <si>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</si>
  <si>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</si>
  <si>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</si>
  <si>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</si>
  <si>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</si>
  <si>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</si>
  <si>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</si>
  <si>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</si>
  <si>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</si>
  <si>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</si>
  <si>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</si>
  <si>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</si>
  <si>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</si>
  <si>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</si>
  <si>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</si>
  <si>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</si>
  <si>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</si>
  <si>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</si>
  <si>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</si>
  <si>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</si>
  <si>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</si>
  <si>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</si>
  <si>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</si>
  <si>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</si>
  <si>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</si>
  <si>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</si>
  <si>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</si>
  <si>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</si>
  <si>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</si>
  <si>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</si>
  <si>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</si>
  <si>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</si>
  <si>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</si>
  <si>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</si>
  <si>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</si>
  <si>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</si>
  <si>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</si>
  <si>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</si>
  <si>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</si>
  <si>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</si>
  <si>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</si>
  <si>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</si>
  <si>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</si>
  <si>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</si>
  <si>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</si>
  <si>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</si>
  <si>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</si>
  <si>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</si>
  <si>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</si>
  <si>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</si>
  <si>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</si>
  <si>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</si>
  <si>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</si>
  <si>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</si>
  <si>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</si>
  <si>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</si>
  <si>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</si>
  <si>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</si>
  <si>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</si>
  <si>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</si>
  <si>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</si>
  <si>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</si>
  <si>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</si>
  <si>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</si>
  <si>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</si>
  <si>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</si>
  <si>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</si>
  <si>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</si>
  <si>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</si>
  <si>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</si>
  <si>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</si>
  <si>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</si>
  <si>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</si>
  <si>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</si>
  <si>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</si>
  <si>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</si>
  <si>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</si>
  <si>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</si>
  <si>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</si>
  <si>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</si>
  <si>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</si>
  <si>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</si>
  <si>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</si>
  <si>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</si>
  <si>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</si>
  <si>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</si>
  <si>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</si>
  <si>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</si>
  <si>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</si>
  <si>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</si>
  <si>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</si>
  <si>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</si>
  <si>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</si>
  <si>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</si>
  <si>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</si>
  <si>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</si>
  <si>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</si>
  <si>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</si>
  <si>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</si>
  <si>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</si>
  <si>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</si>
  <si>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</si>
  <si>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</si>
  <si>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</si>
  <si>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</si>
  <si>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</si>
  <si>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</si>
  <si>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</si>
  <si>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</si>
  <si>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</si>
  <si>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</si>
  <si>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</si>
  <si>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</si>
  <si>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</si>
  <si>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</si>
  <si>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</si>
  <si>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</si>
  <si>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</si>
  <si>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</si>
  <si>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</si>
  <si>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</si>
  <si>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</si>
  <si>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</si>
  <si>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</si>
  <si>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</si>
  <si>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</si>
  <si>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</si>
  <si>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</si>
  <si>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</si>
  <si>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</si>
  <si>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</si>
  <si>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</si>
  <si>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</si>
  <si>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</si>
  <si>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</si>
  <si>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</si>
  <si>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</si>
  <si>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</si>
  <si>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</si>
  <si>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</si>
  <si>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</si>
  <si>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</si>
  <si>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</si>
  <si>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</si>
  <si>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</si>
  <si>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</si>
  <si>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</si>
  <si>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</si>
  <si>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</si>
  <si>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</si>
  <si>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</si>
  <si>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</si>
  <si>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</si>
  <si>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</si>
  <si>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</si>
  <si>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</si>
  <si>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</si>
  <si>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</si>
  <si>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</si>
  <si>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</si>
  <si>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</si>
  <si>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</si>
  <si>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</si>
  <si>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</si>
  <si>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</si>
  <si>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</si>
  <si>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</si>
  <si>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</si>
  <si>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</si>
  <si>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</si>
  <si>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</si>
  <si>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</si>
  <si>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</si>
  <si>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</si>
  <si>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</si>
  <si>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</si>
  <si>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</si>
  <si>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</si>
  <si>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</si>
  <si>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</si>
  <si>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</si>
  <si>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</si>
  <si>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</si>
  <si>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</si>
  <si>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</si>
  <si>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</si>
  <si>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</si>
  <si>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</si>
  <si>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</si>
  <si>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</si>
  <si>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</si>
  <si>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</si>
  <si>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</si>
  <si>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</si>
  <si>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</si>
  <si>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</si>
  <si>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</si>
  <si>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</si>
  <si>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</si>
  <si>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</si>
  <si>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</si>
  <si>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</si>
  <si>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</si>
  <si>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</si>
  <si>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</si>
  <si>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</si>
  <si>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</si>
  <si>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</si>
  <si>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</si>
  <si>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</si>
  <si>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</si>
  <si>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</si>
  <si>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</si>
  <si>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</si>
  <si>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</si>
  <si>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</si>
  <si>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</si>
  <si>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</si>
  <si>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</si>
  <si>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</si>
  <si>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</si>
  <si>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</si>
  <si>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</si>
  <si>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</si>
  <si>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</si>
  <si>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</si>
  <si>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</si>
  <si>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</si>
  <si>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</si>
  <si>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</si>
  <si>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</si>
  <si>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</si>
  <si>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</si>
  <si>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</si>
  <si>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</si>
  <si>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</si>
  <si>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</si>
  <si>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</si>
  <si>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</si>
  <si>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</si>
  <si>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</si>
  <si>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</si>
  <si>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</si>
  <si>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</si>
  <si>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</si>
  <si>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</si>
  <si>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</si>
  <si>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</si>
  <si>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</si>
  <si>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</si>
  <si>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</si>
  <si>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</si>
  <si>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</si>
  <si>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</si>
  <si>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</si>
  <si>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</si>
  <si>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</si>
  <si>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</si>
  <si>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</si>
  <si>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</si>
  <si>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</si>
  <si>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</si>
  <si>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</si>
  <si>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</si>
  <si>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</si>
  <si>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</si>
  <si>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</si>
  <si>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</si>
  <si>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</si>
  <si>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</si>
  <si>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</si>
  <si>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</si>
  <si>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</si>
  <si>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</si>
  <si>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</si>
  <si>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</si>
  <si>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</si>
  <si>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</si>
  <si>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</si>
  <si>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</si>
  <si>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</si>
  <si>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</si>
  <si>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</si>
  <si>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</si>
  <si>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</si>
  <si>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</si>
  <si>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</si>
  <si>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</si>
  <si>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</si>
  <si>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</si>
  <si>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</si>
  <si>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</si>
  <si>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</si>
  <si>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</si>
  <si>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</si>
  <si>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</si>
  <si>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</si>
  <si>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</si>
  <si>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</si>
  <si>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</si>
  <si>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</si>
  <si>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</si>
  <si>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</si>
  <si>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</si>
  <si>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</si>
  <si>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</si>
  <si>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</si>
  <si>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</si>
  <si>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</si>
  <si>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</si>
  <si>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</si>
  <si>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</si>
  <si>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</si>
  <si>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</si>
  <si>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</si>
  <si>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</si>
  <si>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</si>
  <si>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</si>
  <si>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</si>
  <si>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</si>
  <si>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</si>
  <si>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</si>
  <si>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</si>
  <si>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</si>
  <si>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</si>
  <si>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</si>
  <si>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</si>
  <si>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</si>
  <si>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</si>
  <si>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</si>
  <si>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</si>
  <si>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</si>
  <si>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</si>
  <si>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</si>
  <si>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</si>
  <si>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</si>
  <si>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</si>
  <si>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</si>
  <si>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</si>
  <si>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</si>
  <si>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</si>
  <si>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</si>
  <si>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</si>
  <si>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</si>
  <si>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</si>
  <si>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</si>
  <si>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</si>
  <si>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</si>
  <si>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</si>
  <si>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</si>
  <si>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</si>
  <si>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</si>
  <si>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</si>
  <si>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</si>
  <si>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</si>
  <si>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</si>
  <si>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</si>
  <si>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</si>
  <si>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</si>
  <si>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</si>
  <si>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</si>
  <si>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</si>
  <si>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</si>
  <si>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</si>
  <si>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</si>
  <si>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</si>
  <si>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</si>
  <si>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</si>
  <si>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</si>
  <si>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</si>
  <si>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</si>
  <si>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</si>
  <si>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</si>
  <si>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</si>
  <si>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</si>
  <si>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</si>
  <si>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</si>
  <si>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</si>
  <si>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</si>
  <si>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</si>
  <si>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</si>
  <si>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</si>
  <si>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</si>
  <si>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</si>
  <si>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</si>
  <si>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</si>
  <si>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</si>
  <si>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</si>
  <si>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</si>
  <si>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</si>
  <si>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</si>
  <si>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</si>
  <si>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</si>
  <si>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</si>
  <si>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</si>
  <si>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</si>
  <si>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</si>
  <si>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</si>
  <si>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</si>
  <si>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</si>
  <si>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</si>
  <si>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</si>
  <si>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</si>
  <si>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</si>
  <si>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</si>
  <si>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</si>
  <si>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</si>
  <si>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</si>
  <si>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</si>
  <si>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</si>
  <si>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</si>
  <si>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</si>
  <si>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</si>
  <si>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</si>
  <si>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</si>
  <si>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</si>
  <si>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</si>
  <si>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</si>
  <si>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</si>
  <si>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</si>
  <si>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</si>
  <si>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</si>
  <si>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</si>
  <si>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</si>
  <si>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</si>
  <si>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</si>
  <si>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</si>
  <si>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</si>
  <si>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</si>
  <si>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</si>
  <si>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</si>
  <si>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</si>
  <si>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</si>
  <si>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</si>
  <si>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</si>
  <si>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</si>
  <si>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</si>
  <si>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</si>
  <si>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</si>
  <si>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</si>
  <si>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</si>
  <si>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</si>
  <si>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</si>
  <si>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</si>
  <si>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</si>
  <si>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</si>
  <si>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</si>
  <si>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</si>
  <si>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</si>
  <si>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</si>
  <si>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</si>
  <si>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</si>
  <si>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</si>
  <si>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</si>
  <si>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</si>
  <si>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</si>
  <si>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</si>
  <si>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</si>
  <si>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</si>
  <si>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</si>
  <si>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</si>
  <si>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</si>
  <si>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</si>
  <si>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</si>
  <si>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</si>
  <si>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</si>
  <si>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</si>
  <si>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</si>
  <si>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</si>
  <si>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</si>
  <si>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</si>
  <si>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</si>
  <si>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</si>
  <si>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</si>
  <si>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</si>
  <si>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</si>
  <si>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</si>
  <si>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</si>
  <si>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</si>
  <si>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</si>
  <si>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</si>
  <si>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</si>
  <si>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</si>
  <si>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</si>
  <si>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</si>
  <si>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</si>
  <si>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</si>
  <si>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</si>
  <si>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</si>
  <si>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</si>
  <si>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</si>
  <si>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</si>
  <si>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</si>
  <si>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</si>
  <si>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</si>
  <si>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</si>
  <si>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</si>
  <si>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</si>
  <si>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</si>
  <si>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</si>
  <si>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</si>
  <si>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</si>
  <si>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</si>
  <si>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</si>
  <si>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</si>
  <si>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</si>
  <si>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</si>
  <si>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</si>
  <si>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</si>
  <si>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</si>
  <si>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</si>
  <si>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</si>
  <si>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</si>
  <si>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</si>
  <si>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</si>
  <si>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</si>
  <si>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</si>
  <si>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</si>
  <si>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</si>
  <si>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</si>
  <si>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</si>
  <si>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</si>
  <si>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</si>
  <si>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</si>
  <si>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</si>
  <si>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</si>
  <si>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</si>
  <si>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</si>
  <si>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</si>
  <si>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</si>
  <si>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</si>
  <si>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</si>
  <si>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</si>
  <si>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</si>
  <si>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</si>
  <si>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</si>
  <si>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</si>
  <si>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</si>
  <si>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</si>
  <si>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</si>
  <si>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</si>
  <si>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</si>
  <si>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</si>
  <si>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</si>
  <si>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</si>
  <si>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</si>
  <si>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</si>
  <si>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</si>
  <si>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</si>
  <si>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</si>
  <si>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</si>
  <si>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</si>
  <si>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</si>
  <si>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</si>
  <si>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</si>
  <si>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</si>
  <si>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</si>
  <si>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</si>
  <si>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</si>
  <si>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</si>
  <si>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</si>
  <si>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</si>
  <si>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</si>
  <si>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</si>
  <si>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</si>
  <si>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</si>
  <si>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</si>
  <si>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</si>
  <si>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</si>
  <si>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</si>
  <si>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</si>
  <si>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</si>
  <si>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</si>
  <si>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</si>
  <si>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</si>
  <si>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</si>
  <si>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</si>
  <si>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</si>
  <si>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</si>
  <si>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</si>
  <si>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</si>
  <si>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</si>
  <si>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</si>
  <si>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</si>
  <si>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</si>
  <si>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</si>
  <si>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</si>
  <si>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</si>
  <si>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</si>
  <si>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</si>
  <si>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</si>
  <si>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</si>
  <si>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</si>
  <si>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</si>
  <si>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</si>
  <si>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</si>
  <si>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</si>
  <si>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</si>
  <si>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</si>
  <si>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</si>
  <si>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</si>
  <si>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</si>
  <si>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</si>
  <si>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</si>
  <si>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</si>
  <si>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</si>
  <si>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</si>
  <si>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</si>
  <si>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</si>
  <si>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</si>
  <si>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</si>
  <si>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</si>
  <si>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</si>
  <si>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</si>
  <si>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</si>
  <si>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</si>
  <si>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</si>
  <si>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</si>
  <si>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</si>
  <si>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</si>
  <si>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</si>
  <si>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</si>
  <si>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</si>
  <si>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</si>
  <si>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</si>
  <si>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</si>
  <si>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</si>
  <si>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</si>
  <si>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</si>
  <si>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</si>
  <si>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</si>
  <si>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</si>
  <si>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</si>
  <si>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</si>
  <si>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</si>
  <si>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</si>
  <si>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</si>
  <si>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</si>
  <si>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</si>
  <si>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</si>
  <si>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</si>
  <si>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</si>
  <si>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</si>
  <si>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</si>
  <si>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</si>
  <si>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</si>
  <si>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</si>
  <si>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</si>
  <si>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</si>
  <si>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</si>
  <si>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</si>
  <si>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</si>
  <si>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</si>
  <si>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</si>
  <si>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</si>
  <si>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</si>
  <si>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</si>
  <si>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</si>
  <si>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</si>
  <si>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</si>
  <si>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</si>
  <si>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</si>
  <si>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</si>
  <si>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</si>
  <si>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</si>
  <si>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</si>
  <si>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</si>
  <si>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</si>
  <si>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</si>
  <si>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</si>
  <si>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</si>
  <si>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</si>
  <si>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</si>
  <si>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</si>
  <si>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</si>
  <si>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</si>
  <si>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</si>
  <si>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</si>
  <si>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</si>
  <si>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</si>
  <si>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</si>
  <si>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</si>
  <si>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</si>
  <si>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</si>
  <si>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</si>
  <si>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</si>
  <si>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</si>
  <si>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</si>
  <si>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</si>
  <si>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</si>
  <si>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</si>
  <si>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</si>
  <si>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</si>
  <si>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</si>
  <si>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</si>
  <si>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</si>
  <si>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</si>
  <si>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</si>
  <si>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</si>
  <si>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</si>
  <si>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</si>
  <si>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</si>
  <si>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</si>
  <si>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</si>
  <si>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</si>
  <si>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</si>
  <si>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</si>
  <si>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</si>
  <si>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</si>
  <si>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</si>
  <si>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</si>
  <si>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</si>
  <si>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</si>
  <si>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</si>
  <si>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</si>
  <si>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</si>
  <si>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</si>
  <si>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</si>
  <si>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</si>
  <si>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</si>
  <si>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</si>
  <si>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</si>
  <si>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</si>
  <si>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</si>
  <si>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</si>
  <si>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</si>
  <si>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</si>
  <si>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</si>
  <si>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</si>
  <si>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</si>
  <si>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</si>
  <si>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</si>
  <si>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</si>
  <si>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</si>
  <si>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</si>
  <si>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</si>
  <si>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</si>
  <si>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</si>
  <si>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</si>
  <si>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</si>
  <si>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</si>
  <si>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</si>
  <si>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</si>
  <si>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</si>
  <si>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</si>
  <si>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</si>
  <si>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</si>
  <si>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</si>
  <si>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</si>
  <si>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</si>
  <si>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</si>
  <si>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</si>
  <si>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</si>
  <si>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</si>
  <si>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</si>
  <si>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</si>
  <si>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</si>
  <si>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</si>
  <si>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</si>
  <si>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</si>
  <si>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</si>
  <si>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</si>
  <si>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</si>
  <si>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</si>
  <si>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</si>
  <si>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</si>
  <si>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</si>
  <si>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</si>
  <si>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</si>
  <si>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</si>
  <si>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</si>
  <si>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</si>
  <si>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</si>
  <si>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</si>
  <si>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</si>
  <si>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</si>
  <si>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</si>
  <si>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</si>
  <si>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</si>
  <si>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</si>
  <si>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</si>
  <si>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</si>
  <si>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</si>
  <si>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</si>
  <si>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</si>
  <si>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</si>
  <si>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</si>
  <si>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</si>
  <si>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</si>
  <si>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</si>
  <si>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</si>
  <si>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</si>
  <si>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</si>
  <si>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</si>
  <si>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</si>
  <si>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</si>
  <si>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</si>
  <si>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</si>
  <si>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</si>
  <si>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</si>
  <si>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</si>
  <si>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</si>
  <si>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</si>
  <si>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</si>
  <si>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</si>
  <si>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</si>
  <si>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</si>
  <si>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</si>
  <si>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</si>
  <si>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</si>
  <si>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</si>
  <si>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</si>
  <si>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</si>
  <si>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</si>
  <si>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</si>
  <si>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</si>
  <si>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</si>
  <si>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</si>
  <si>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</si>
  <si>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</si>
  <si>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</si>
  <si>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</si>
  <si>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</si>
  <si>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</si>
  <si>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</si>
  <si>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</si>
  <si>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</si>
  <si>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</si>
  <si>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</si>
  <si>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</si>
  <si>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</si>
  <si>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</si>
  <si>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</si>
  <si>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</si>
  <si>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</si>
  <si>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</si>
  <si>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</si>
  <si>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</si>
  <si>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</si>
  <si>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</si>
  <si>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</si>
  <si>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</si>
  <si>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</si>
  <si>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</si>
  <si>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</si>
  <si>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</si>
  <si>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</si>
  <si>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</si>
  <si>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</si>
  <si>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</si>
  <si>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</si>
  <si>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</si>
  <si>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</si>
  <si>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</si>
  <si>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</si>
  <si>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</si>
  <si>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</si>
  <si>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</si>
  <si>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</si>
  <si>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</si>
  <si>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</si>
  <si>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</si>
  <si>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</si>
  <si>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</si>
  <si>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</si>
  <si>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</si>
  <si>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</si>
  <si>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</si>
  <si>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</si>
  <si>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</si>
  <si>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</si>
  <si>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</si>
  <si>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</si>
  <si>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</si>
  <si>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</si>
  <si>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</si>
  <si>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</si>
  <si>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</si>
  <si>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</si>
  <si>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</si>
  <si>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</si>
  <si>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</si>
  <si>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</si>
  <si>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</si>
  <si>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</si>
  <si>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</si>
  <si>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</si>
  <si>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</si>
  <si>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</si>
  <si>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</si>
  <si>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</si>
  <si>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</si>
  <si>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</si>
  <si>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</si>
  <si>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</si>
  <si>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</si>
  <si>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</si>
  <si>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</si>
  <si>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</si>
  <si>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</si>
  <si>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</si>
  <si>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</si>
  <si>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</si>
  <si>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</si>
  <si>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</si>
  <si>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</si>
  <si>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</si>
  <si>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</si>
  <si>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</si>
  <si>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</si>
  <si>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</si>
  <si>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</si>
  <si>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</si>
  <si>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</si>
  <si>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</si>
  <si>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</si>
  <si>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</si>
  <si>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</si>
  <si>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</si>
  <si>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</si>
  <si>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</si>
  <si>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</si>
  <si>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</si>
  <si>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</si>
  <si>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</si>
  <si>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</si>
  <si>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</si>
  <si>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</si>
  <si>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</si>
  <si>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</si>
  <si>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</si>
  <si>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</si>
  <si>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</si>
  <si>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</si>
  <si>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</si>
  <si>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</si>
  <si>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</si>
  <si>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</si>
  <si>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</si>
  <si>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</si>
  <si>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</si>
  <si>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</si>
  <si>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</si>
  <si>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</si>
  <si>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</si>
  <si>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</si>
  <si>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</si>
  <si>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</si>
  <si>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</si>
  <si>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</si>
  <si>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</si>
  <si>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</si>
  <si>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</si>
  <si>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</si>
  <si>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</si>
  <si>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</si>
  <si>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</si>
  <si>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</si>
  <si>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</si>
  <si>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</si>
  <si>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</si>
  <si>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</si>
  <si>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</si>
  <si>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</si>
  <si>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</si>
  <si>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</si>
  <si>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</si>
  <si>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</si>
  <si>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</si>
  <si>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</si>
  <si>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</si>
  <si>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</si>
  <si>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</si>
  <si>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</si>
  <si>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</si>
  <si>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</si>
  <si>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</si>
  <si>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</si>
  <si>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</si>
  <si>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</si>
  <si>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</si>
  <si>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</si>
  <si>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</si>
  <si>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</si>
  <si>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</si>
  <si>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</si>
  <si>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</si>
  <si>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</si>
  <si>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</si>
  <si>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</si>
  <si>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</si>
  <si>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</si>
  <si>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</si>
  <si>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</si>
  <si>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</si>
  <si>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</si>
  <si>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</si>
  <si>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</si>
  <si>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</si>
  <si>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</si>
  <si>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</si>
  <si>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</si>
  <si>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</si>
  <si>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</si>
  <si>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</si>
  <si>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</si>
  <si>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</si>
  <si>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</si>
  <si>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</si>
  <si>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</si>
  <si>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</si>
  <si>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</si>
  <si>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</si>
  <si>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</si>
  <si>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</si>
  <si>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</si>
  <si>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</si>
  <si>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</si>
  <si>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</si>
  <si>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</si>
  <si>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</si>
  <si>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</si>
  <si>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</si>
  <si>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</si>
  <si>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</si>
  <si>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</si>
  <si>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</si>
  <si>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</si>
  <si>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</si>
  <si>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</si>
  <si>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</si>
  <si>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</si>
  <si>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</si>
  <si>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</si>
  <si>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</si>
  <si>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</si>
  <si>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</si>
  <si>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</si>
  <si>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</si>
  <si>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</si>
  <si>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</si>
  <si>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</si>
  <si>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</si>
  <si>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</si>
  <si>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</si>
  <si>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</si>
  <si>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</si>
  <si>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</si>
  <si>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</si>
  <si>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</si>
  <si>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</si>
  <si>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</si>
  <si>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</si>
  <si>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</si>
  <si>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</si>
  <si>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</si>
  <si>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</si>
  <si>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</si>
  <si>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</si>
  <si>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</si>
  <si>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</si>
  <si>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</si>
  <si>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</si>
  <si>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</si>
  <si>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</si>
  <si>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</si>
  <si>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</si>
  <si>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</si>
  <si>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</si>
  <si>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</si>
  <si>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</si>
  <si>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</si>
  <si>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</si>
  <si>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</si>
  <si>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</si>
  <si>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</si>
  <si>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</si>
  <si>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</si>
  <si>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</si>
  <si>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</si>
  <si>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</si>
  <si>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</si>
  <si>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</si>
  <si>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</si>
  <si>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</si>
  <si>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</si>
  <si>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</si>
  <si>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</si>
  <si>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</si>
  <si>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</si>
  <si>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</si>
  <si>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</si>
  <si>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</si>
  <si>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</si>
  <si>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</si>
  <si>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</si>
  <si>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</si>
  <si>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</si>
  <si>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</si>
  <si>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</si>
  <si>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</si>
  <si>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</si>
  <si>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</si>
  <si>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</si>
  <si>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</si>
  <si>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</si>
  <si>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</si>
  <si>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</si>
  <si>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</si>
  <si>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</si>
  <si>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</si>
  <si>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</si>
  <si>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</si>
  <si>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</si>
  <si>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</si>
  <si>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</si>
  <si>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</si>
  <si>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</si>
  <si>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</si>
  <si>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</si>
  <si>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</si>
  <si>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</si>
  <si>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</si>
  <si>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</si>
  <si>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</si>
  <si>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</si>
  <si>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</si>
  <si>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</si>
  <si>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</si>
  <si>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</si>
  <si>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</si>
  <si>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</si>
  <si>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</si>
  <si>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</si>
  <si>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</si>
  <si>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</si>
  <si>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</si>
  <si>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</si>
  <si>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</si>
  <si>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</si>
  <si>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</si>
  <si>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</si>
  <si>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</si>
  <si>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</si>
  <si>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</si>
  <si>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</si>
  <si>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</si>
  <si>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</si>
  <si>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</si>
  <si>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</si>
  <si>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</si>
  <si>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</si>
  <si>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</si>
  <si>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</si>
  <si>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</si>
  <si>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</si>
  <si>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</si>
  <si>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</si>
  <si>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</si>
  <si>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</si>
  <si>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</si>
  <si>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</si>
  <si>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</si>
  <si>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</si>
  <si>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</si>
  <si>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</si>
  <si>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</si>
  <si>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</si>
  <si>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</si>
  <si>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</si>
  <si>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</si>
  <si>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</si>
  <si>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</si>
  <si>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</si>
  <si>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</si>
  <si>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</si>
  <si>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</si>
  <si>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</si>
  <si>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</si>
  <si>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</si>
  <si>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</si>
  <si>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</si>
  <si>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</si>
  <si>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</si>
  <si>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</si>
  <si>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</si>
  <si>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</si>
  <si>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</si>
  <si>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</si>
  <si>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</si>
  <si>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</si>
  <si>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</si>
  <si>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</si>
  <si>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</si>
  <si>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</si>
  <si>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</si>
  <si>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</si>
  <si>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</si>
  <si>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</si>
  <si>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</si>
  <si>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</si>
  <si>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</si>
  <si>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</si>
  <si>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</si>
  <si>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</si>
  <si>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</si>
  <si>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</si>
  <si>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</si>
  <si>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</si>
  <si>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</si>
  <si>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</si>
  <si>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</si>
  <si>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</si>
  <si>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</si>
  <si>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</si>
  <si>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</si>
  <si>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</si>
  <si>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</si>
  <si>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</si>
  <si>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</si>
  <si>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</si>
  <si>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</si>
  <si>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</si>
  <si>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</si>
  <si>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</si>
  <si>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</si>
  <si>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</si>
  <si>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</si>
  <si>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</si>
  <si>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</si>
  <si>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</si>
  <si>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</si>
  <si>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</si>
  <si>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</si>
  <si>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</si>
  <si>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</si>
  <si>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</si>
  <si>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</si>
  <si>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</si>
  <si>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</si>
  <si>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</si>
  <si>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</si>
  <si>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</si>
  <si>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</si>
  <si>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</si>
  <si>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</si>
  <si>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</si>
  <si>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</si>
  <si>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</si>
  <si>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</si>
  <si>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</si>
  <si>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</si>
  <si>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</si>
  <si>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</si>
  <si>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</si>
  <si>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</si>
  <si>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</si>
  <si>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</si>
  <si>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</si>
  <si>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</si>
  <si>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</si>
  <si>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</si>
  <si>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</si>
  <si>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</si>
  <si>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</si>
  <si>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</si>
  <si>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</si>
  <si>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</si>
  <si>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</si>
  <si>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</si>
  <si>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</si>
  <si>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</si>
  <si>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</si>
  <si>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</si>
  <si>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</si>
  <si>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</si>
  <si>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</si>
  <si>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</si>
  <si>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</si>
  <si>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</si>
  <si>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</si>
  <si>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</si>
  <si>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</si>
  <si>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</si>
  <si>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</si>
  <si>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</si>
  <si>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</si>
  <si>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</si>
  <si>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</si>
  <si>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</si>
  <si>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</si>
  <si>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</si>
  <si>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</si>
  <si>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</si>
  <si>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</si>
  <si>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</si>
  <si>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</si>
  <si>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</si>
  <si>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</si>
  <si>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</si>
  <si>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</si>
  <si>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</si>
  <si>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</si>
  <si>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</si>
  <si>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</si>
  <si>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</si>
  <si>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</si>
  <si>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</si>
  <si>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</si>
  <si>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</si>
  <si>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</si>
  <si>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</si>
  <si>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</si>
  <si>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</si>
  <si>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</si>
  <si>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</si>
  <si>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</si>
  <si>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</si>
  <si>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</si>
  <si>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</si>
  <si>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</si>
  <si>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</si>
  <si>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</si>
  <si>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</si>
  <si>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</si>
  <si>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</si>
  <si>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</si>
  <si>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</si>
  <si>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</si>
  <si>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</si>
  <si>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</si>
  <si>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</si>
  <si>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</si>
  <si>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</si>
  <si>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</si>
  <si>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</si>
  <si>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</si>
  <si>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</si>
  <si>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</si>
  <si>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</si>
  <si>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</si>
  <si>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</si>
  <si>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</si>
  <si>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</si>
  <si>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</si>
  <si>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</si>
  <si>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</si>
  <si>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</si>
  <si>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</si>
  <si>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</si>
  <si>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</si>
  <si>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</si>
  <si>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</si>
  <si>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</si>
  <si>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</si>
  <si>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</si>
  <si>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</si>
  <si>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</si>
  <si>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</si>
  <si>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</si>
  <si>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</si>
  <si>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</si>
  <si>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</si>
  <si>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</si>
  <si>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</si>
  <si>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</si>
  <si>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</si>
  <si>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</si>
  <si>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</si>
  <si>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</si>
  <si>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</si>
  <si>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</si>
  <si>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</si>
  <si>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</si>
  <si>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</si>
  <si>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</si>
  <si>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</si>
  <si>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</si>
  <si>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</si>
  <si>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</si>
  <si>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</si>
  <si>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</si>
  <si>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</si>
  <si>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</si>
  <si>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</si>
  <si>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</si>
  <si>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</si>
  <si>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</si>
  <si>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</si>
  <si>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</si>
  <si>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</si>
  <si>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</si>
  <si>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</si>
  <si>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</si>
  <si>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</si>
  <si>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</si>
  <si>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</si>
  <si>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</si>
  <si>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</si>
  <si>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</si>
  <si>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</si>
  <si>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</si>
  <si>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</si>
  <si>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</si>
  <si>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</si>
  <si>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</si>
  <si>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</si>
  <si>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</si>
  <si>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</si>
  <si>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</si>
  <si>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</si>
  <si>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</si>
  <si>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</si>
  <si>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</si>
  <si>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</si>
  <si>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</si>
  <si>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</si>
  <si>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</si>
  <si>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</si>
  <si>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</si>
  <si>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</si>
  <si>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</si>
  <si>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</si>
  <si>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</si>
  <si>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</si>
  <si>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</si>
  <si>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</si>
  <si>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</si>
  <si>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</si>
  <si>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</si>
  <si>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</si>
  <si>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</si>
  <si>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</si>
  <si>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</si>
  <si>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</si>
  <si>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</si>
  <si>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</si>
  <si>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</si>
  <si>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</si>
  <si>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</si>
  <si>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</si>
  <si>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</si>
  <si>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</si>
  <si>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</si>
  <si>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</si>
  <si>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</si>
  <si>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</si>
  <si>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</si>
  <si>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</si>
  <si>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</si>
  <si>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</si>
  <si>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</si>
  <si>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</si>
  <si>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</si>
  <si>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</si>
  <si>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</si>
  <si>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</si>
  <si>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</si>
  <si>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</si>
  <si>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</si>
  <si>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</si>
  <si>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</si>
  <si>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</si>
  <si>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</si>
  <si>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</si>
  <si>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</si>
  <si>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</si>
  <si>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</si>
  <si>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</si>
  <si>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</si>
  <si>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</si>
  <si>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</si>
  <si>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</si>
  <si>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</si>
  <si>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</si>
  <si>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</si>
  <si>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</si>
  <si>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</si>
  <si>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</si>
  <si>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</si>
  <si>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</si>
  <si>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</si>
  <si>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</si>
  <si>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</si>
  <si>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</si>
  <si>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</si>
  <si>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</si>
  <si>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</si>
  <si>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</si>
  <si>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</si>
  <si>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</si>
  <si>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</si>
  <si>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</si>
  <si>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</si>
  <si>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</si>
  <si>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</si>
  <si>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</si>
  <si>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</si>
  <si>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</si>
  <si>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</si>
  <si>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</si>
  <si>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</si>
  <si>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</si>
  <si>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</si>
  <si>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</si>
  <si>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</si>
  <si>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</si>
  <si>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</si>
  <si>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</si>
  <si>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</si>
  <si>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</si>
  <si>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</si>
  <si>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</si>
  <si>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</si>
  <si>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</si>
  <si>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</si>
  <si>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</si>
  <si>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</si>
  <si>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</si>
  <si>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</si>
  <si>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</si>
  <si>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</si>
  <si>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</si>
  <si>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</si>
  <si>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</si>
  <si>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</si>
  <si>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</si>
  <si>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</si>
  <si>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</si>
  <si>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</si>
  <si>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</si>
  <si>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</si>
  <si>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</si>
  <si>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</si>
  <si>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</si>
  <si>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</si>
  <si>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</si>
  <si>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</si>
  <si>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</si>
  <si>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</si>
  <si>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</si>
  <si>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</si>
  <si>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</si>
  <si>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</si>
  <si>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</si>
  <si>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</si>
  <si>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</si>
  <si>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</si>
  <si>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</si>
  <si>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</si>
  <si>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</si>
  <si>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</si>
  <si>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</si>
  <si>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</si>
  <si>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</si>
  <si>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</si>
  <si>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</si>
  <si>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</si>
  <si>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</si>
  <si>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</si>
  <si>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</si>
  <si>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</si>
  <si>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</si>
  <si>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</si>
  <si>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</si>
  <si>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</si>
  <si>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</si>
  <si>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</si>
  <si>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</si>
  <si>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</si>
  <si>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</si>
  <si>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</si>
  <si>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</si>
  <si>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</si>
  <si>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</si>
  <si>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</si>
  <si>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</si>
  <si>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</si>
  <si>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</si>
  <si>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</si>
  <si>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</si>
  <si>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</si>
  <si>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</si>
  <si>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</si>
  <si>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</si>
  <si>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</si>
  <si>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</si>
  <si>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</si>
  <si>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</si>
  <si>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</si>
  <si>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</si>
  <si>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</si>
  <si>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</si>
  <si>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</si>
  <si>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</si>
  <si>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</si>
  <si>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</si>
  <si>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</si>
  <si>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</si>
  <si>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</si>
  <si>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</si>
  <si>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</si>
  <si>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</si>
  <si>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</si>
  <si>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</si>
  <si>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</si>
  <si>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</si>
  <si>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</si>
  <si>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</si>
  <si>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</si>
  <si>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</si>
  <si>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</si>
  <si>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</si>
  <si>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</si>
  <si>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</si>
  <si>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</si>
  <si>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</si>
  <si>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</si>
  <si>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</si>
  <si>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</si>
  <si>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</si>
  <si>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</si>
  <si>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</si>
  <si>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</si>
  <si>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</si>
  <si>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</si>
  <si>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</si>
  <si>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</si>
  <si>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</si>
  <si>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</si>
  <si>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</si>
  <si>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</si>
  <si>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</si>
  <si>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</si>
  <si>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</si>
  <si>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</si>
  <si>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</si>
  <si>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</si>
  <si>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</si>
  <si>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</si>
  <si>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</si>
  <si>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</si>
  <si>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</si>
  <si>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</si>
  <si>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</si>
  <si>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</si>
  <si>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</si>
  <si>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</si>
  <si>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</si>
  <si>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</si>
  <si>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</si>
  <si>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</si>
  <si>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</si>
  <si>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</si>
  <si>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</si>
  <si>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</si>
  <si>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</si>
  <si>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</si>
  <si>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</si>
  <si>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</si>
  <si>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</si>
  <si>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</si>
  <si>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</si>
  <si>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</si>
  <si>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</si>
  <si>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</si>
  <si>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</si>
  <si>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</si>
  <si>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</si>
  <si>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</si>
  <si>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</si>
  <si>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</si>
  <si>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</si>
  <si>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</si>
  <si>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</si>
  <si>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</si>
  <si>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</si>
  <si>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</si>
  <si>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</si>
  <si>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</si>
  <si>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</si>
  <si>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</si>
  <si>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</si>
  <si>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</si>
  <si>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</si>
  <si>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</si>
  <si>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</si>
  <si>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</si>
  <si>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</si>
  <si>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</si>
  <si>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</si>
  <si>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</si>
  <si>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</si>
  <si>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</si>
  <si>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</si>
  <si>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</si>
  <si>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</si>
  <si>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</si>
  <si>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</si>
  <si>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</si>
  <si>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</si>
  <si>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</si>
  <si>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</si>
  <si>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</si>
  <si>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</si>
  <si>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</si>
  <si>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</si>
  <si>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</si>
  <si>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</si>
  <si>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</si>
  <si>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</si>
  <si>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</si>
  <si>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</si>
  <si>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</si>
  <si>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</si>
  <si>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</si>
  <si>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</si>
  <si>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</si>
  <si>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</si>
  <si>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</si>
  <si>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</si>
  <si>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</si>
  <si>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</si>
  <si>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</si>
  <si>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</si>
  <si>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</si>
  <si>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</si>
  <si>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</si>
  <si>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</si>
  <si>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</si>
  <si>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</si>
  <si>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</si>
  <si>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</si>
  <si>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</si>
  <si>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</si>
  <si>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</si>
  <si>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</si>
  <si>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</si>
  <si>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</si>
  <si>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</si>
  <si>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</si>
  <si>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</si>
  <si>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</si>
  <si>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</si>
  <si>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</si>
  <si>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</si>
  <si>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</si>
  <si>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</si>
  <si>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</si>
  <si>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</si>
  <si>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</si>
  <si>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</si>
  <si>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</si>
  <si>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</si>
  <si>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</si>
  <si>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</si>
  <si>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</si>
  <si>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</si>
  <si>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</si>
  <si>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</si>
  <si>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</si>
  <si>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</si>
  <si>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</si>
  <si>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</si>
  <si>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</si>
  <si>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</si>
  <si>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</si>
  <si>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</si>
  <si>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</si>
  <si>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</si>
  <si>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</si>
  <si>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</si>
  <si>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</si>
  <si>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</si>
  <si>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</si>
  <si>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</si>
  <si>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</si>
  <si>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</si>
  <si>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</si>
  <si>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</si>
  <si>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</si>
  <si>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</si>
  <si>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</si>
  <si>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</si>
  <si>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</si>
  <si>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</si>
  <si>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</si>
  <si>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</si>
  <si>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</si>
  <si>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</si>
  <si>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</si>
  <si>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</si>
  <si>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</si>
  <si>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</si>
  <si>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</si>
  <si>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</si>
  <si>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</si>
  <si>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</si>
  <si>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</si>
  <si>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</si>
  <si>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</si>
  <si>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</si>
  <si>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</si>
  <si>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</si>
  <si>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</si>
  <si>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</si>
  <si>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</si>
  <si>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</si>
  <si>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</si>
  <si>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</si>
  <si>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</si>
  <si>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</si>
  <si>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</si>
  <si>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</si>
  <si>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</si>
  <si>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</si>
  <si>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</si>
  <si>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</si>
  <si>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</si>
  <si>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</si>
  <si>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</si>
  <si>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</si>
  <si>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</si>
  <si>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</si>
  <si>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</si>
  <si>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</si>
  <si>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</si>
  <si>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</si>
  <si>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</si>
  <si>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</si>
  <si>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</si>
  <si>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</si>
  <si>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</si>
  <si>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</si>
  <si>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</si>
  <si>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</si>
  <si>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</si>
  <si>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</si>
  <si>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</si>
  <si>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</si>
  <si>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</si>
  <si>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</si>
  <si>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</si>
  <si>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</si>
  <si>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</si>
  <si>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</si>
  <si>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</si>
  <si>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</si>
  <si>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</si>
  <si>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</si>
  <si>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</si>
  <si>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</si>
  <si>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</si>
  <si>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</si>
  <si>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</si>
  <si>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</si>
  <si>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</si>
  <si>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</si>
  <si>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</si>
  <si>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</si>
  <si>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</si>
  <si>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</si>
  <si>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</si>
  <si>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</si>
  <si>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</si>
  <si>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</si>
  <si>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</si>
  <si>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</si>
  <si>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</si>
  <si>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</si>
  <si>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</si>
  <si>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</si>
  <si>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</si>
  <si>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</si>
  <si>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</si>
  <si>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</si>
  <si>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</si>
  <si>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</si>
  <si>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</si>
  <si>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</si>
  <si>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</si>
  <si>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</si>
  <si>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</si>
  <si>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</si>
  <si>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</si>
  <si>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</si>
  <si>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</si>
  <si>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</si>
  <si>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</si>
  <si>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</si>
  <si>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</si>
  <si>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</si>
  <si>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</si>
  <si>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</si>
  <si>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</si>
  <si>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</si>
  <si>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</si>
  <si>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</si>
  <si>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</si>
  <si>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</si>
  <si>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</si>
  <si>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</si>
  <si>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</si>
  <si>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</si>
  <si>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</si>
  <si>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</si>
  <si>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</si>
  <si>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</si>
  <si>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</si>
  <si>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</si>
  <si>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</si>
  <si>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</si>
  <si>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</si>
  <si>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</si>
  <si>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</si>
  <si>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</si>
  <si>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</si>
  <si>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</si>
  <si>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</si>
  <si>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</si>
  <si>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</si>
  <si>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</si>
  <si>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</si>
  <si>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</si>
  <si>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</si>
  <si>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</si>
  <si>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</si>
  <si>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</si>
  <si>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</si>
  <si>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</si>
  <si>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</si>
  <si>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</si>
  <si>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</si>
  <si>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</si>
  <si>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</si>
  <si>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</si>
  <si>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</si>
  <si>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</si>
  <si>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</si>
  <si>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</si>
  <si>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</si>
  <si>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</si>
  <si>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</si>
  <si>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</si>
  <si>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</si>
  <si>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</si>
  <si>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</si>
  <si>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</si>
  <si>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</si>
  <si>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</si>
  <si>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</si>
  <si>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</si>
  <si>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</si>
  <si>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</si>
  <si>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</si>
  <si>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</si>
  <si>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</si>
  <si>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</si>
  <si>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</si>
  <si>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</si>
  <si>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</si>
  <si>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</si>
  <si>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</si>
  <si>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</si>
  <si>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</si>
  <si>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</si>
  <si>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</si>
  <si>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</si>
  <si>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</si>
  <si>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</si>
  <si>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</si>
  <si>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</si>
  <si>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</si>
  <si>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</si>
  <si>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</si>
  <si>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</si>
  <si>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</si>
  <si>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</si>
  <si>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</si>
  <si>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</si>
  <si>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</si>
  <si>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</si>
  <si>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</si>
  <si>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</si>
  <si>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</si>
  <si>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</si>
  <si>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</si>
  <si>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</si>
  <si>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</si>
  <si>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</si>
  <si>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</si>
  <si>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</si>
  <si>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</si>
  <si>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</si>
  <si>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</si>
  <si>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</si>
  <si>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</si>
  <si>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</si>
  <si>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</si>
  <si>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</si>
  <si>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</si>
  <si>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</si>
  <si>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</si>
  <si>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</si>
  <si>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</si>
  <si>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</si>
  <si>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</si>
  <si>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</si>
  <si>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</si>
  <si>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</si>
  <si>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</si>
  <si>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</si>
  <si>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</si>
  <si>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</si>
  <si>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</si>
  <si>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</si>
  <si>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</si>
  <si>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</si>
  <si>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</si>
  <si>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</si>
  <si>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</si>
  <si>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</si>
  <si>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</si>
  <si>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</si>
  <si>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</si>
  <si>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</si>
  <si>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</si>
  <si>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</si>
  <si>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</si>
  <si>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</si>
  <si>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</si>
  <si>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</si>
  <si>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</si>
  <si>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</si>
  <si>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</si>
  <si>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</si>
  <si>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</si>
  <si>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</si>
  <si>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</si>
  <si>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</si>
  <si>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</si>
  <si>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</si>
  <si>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</si>
  <si>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</si>
  <si>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</si>
  <si>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</si>
  <si>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</si>
  <si>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</si>
  <si>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</si>
  <si>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</si>
  <si>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</si>
  <si>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</si>
  <si>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</si>
  <si>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</si>
  <si>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</si>
  <si>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</si>
  <si>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</si>
  <si>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</si>
  <si>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</si>
  <si>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</si>
  <si>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</si>
  <si>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</si>
  <si>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</si>
  <si>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</si>
  <si>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</si>
  <si>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</si>
  <si>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</si>
  <si>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</si>
  <si>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</si>
  <si>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</si>
  <si>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</si>
  <si>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</si>
  <si>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</si>
  <si>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</si>
  <si>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</si>
  <si>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</si>
  <si>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</si>
  <si>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</si>
  <si>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</si>
  <si>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</si>
  <si>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</si>
  <si>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</si>
  <si>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</si>
  <si>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</si>
  <si>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</si>
  <si>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</si>
  <si>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</si>
  <si>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</si>
  <si>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</si>
  <si>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</si>
  <si>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</si>
  <si>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</si>
  <si>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</si>
  <si>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</si>
  <si>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</si>
  <si>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</si>
  <si>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</si>
  <si>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</si>
  <si>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</si>
  <si>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</si>
  <si>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</si>
  <si>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</si>
  <si>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</si>
  <si>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</si>
  <si>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</si>
  <si>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</si>
  <si>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</si>
  <si>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</si>
  <si>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</si>
  <si>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</si>
  <si>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</si>
  <si>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</si>
  <si>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</si>
  <si>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</si>
  <si>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</si>
  <si>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</si>
  <si>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</si>
  <si>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</si>
  <si>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</si>
  <si>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</si>
  <si>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</si>
  <si>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</si>
  <si>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</si>
  <si>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</si>
  <si>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</si>
  <si>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</si>
  <si>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</si>
  <si>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</si>
  <si>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</si>
  <si>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</si>
  <si>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</si>
  <si>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</si>
  <si>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</si>
  <si>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</si>
  <si>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</si>
  <si>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</si>
  <si>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</si>
  <si>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</si>
  <si>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</si>
  <si>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</si>
  <si>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</si>
  <si>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</si>
  <si>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</si>
  <si>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</si>
  <si>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</si>
  <si>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</si>
  <si>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</si>
  <si>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</si>
  <si>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</si>
  <si>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</si>
  <si>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</si>
  <si>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</si>
  <si>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</si>
  <si>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</si>
  <si>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</si>
  <si>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</si>
  <si>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</si>
  <si>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</si>
  <si>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</si>
  <si>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</si>
  <si>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</si>
  <si>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</si>
  <si>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</si>
  <si>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</si>
  <si>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</si>
  <si>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</si>
  <si>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</si>
  <si>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</si>
  <si>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</si>
  <si>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</si>
  <si>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</si>
  <si>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</si>
  <si>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</si>
  <si>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</si>
  <si>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</si>
  <si>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</si>
  <si>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</si>
  <si>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</si>
  <si>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</si>
  <si>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</si>
  <si>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</si>
  <si>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</si>
  <si>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</si>
  <si>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</si>
  <si>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</si>
  <si>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</si>
  <si>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</si>
  <si>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</si>
  <si>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</si>
  <si>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</si>
  <si>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</si>
  <si>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</si>
  <si>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</si>
  <si>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</si>
  <si>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</si>
  <si>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</si>
  <si>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</si>
  <si>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</si>
  <si>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</si>
  <si>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</si>
  <si>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</si>
  <si>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</si>
  <si>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</si>
  <si>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</si>
  <si>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</si>
  <si>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</si>
  <si>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2.1.1</t>
  </si>
  <si>
    <t>Addition automatic calculation of Electricity EF in Summary_Communication</t>
  </si>
  <si>
    <t>Addition EF Summary_Communication</t>
  </si>
  <si>
    <t>Electricity EF (tCO2/MWh)</t>
  </si>
  <si>
    <t>This is the published version 2.1.1 of the CBAM template, version of 13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</si>
</sst>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71">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4" fillId="2" borderId="18" xfId="0" applyFont="1" applyFill="1" applyBorder="1" applyAlignment="1" applyProtection="1">
      <alignment horizontal="center" wrapText="1"/>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4" fillId="2" borderId="0"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tabSelected="1" zoomScaleNormal="100" workbookViewId="0">
      <pane ySplit="4" topLeftCell="A5" activePane="bottomLeft" state="frozen"/>
      <selection pane="bottomLeft" activeCell="B2" sqref="B2:D4"/>
    </sheetView>
  </sheetViews>
  <sheetFormatPr baseColWidth="10" defaultColWidth="11.42578125" defaultRowHeight="12.75" x14ac:dyDescent="0.2"/>
  <cols>
    <col min="1" max="1" width="4.7109375" style="91" hidden="1" customWidth="1"/>
    <col min="2" max="4" width="3.7109375" style="93" customWidth="1"/>
    <col min="5" max="5" width="20.7109375" style="93" customWidth="1"/>
    <col min="6" max="14" width="12.7109375" style="93" customWidth="1"/>
    <col min="15" max="15" width="1.7109375" style="93" customWidth="1"/>
    <col min="16" max="17" width="11.42578125" style="111" hidden="1" customWidth="1"/>
    <col min="18" max="21" width="11.42578125" style="110" hidden="1" customWidth="1"/>
    <col min="22" max="16384" width="11.42578125" style="111"/>
  </cols>
  <sheetData>
    <row r="1" spans="1:21" s="91" customFormat="1" ht="14.1" hidden="1" customHeight="1" thickBot="1" x14ac:dyDescent="0.3">
      <c r="A1" s="91" t="s">
        <v>3</v>
      </c>
      <c r="P1" s="91" t="s">
        <v>3</v>
      </c>
      <c r="Q1" s="91" t="s">
        <v>3</v>
      </c>
      <c r="R1" s="91" t="s">
        <v>3</v>
      </c>
      <c r="S1" s="91" t="s">
        <v>3</v>
      </c>
      <c r="T1" s="91" t="s">
        <v>3</v>
      </c>
      <c r="U1" s="91" t="s">
        <v>3</v>
      </c>
    </row>
    <row r="2" spans="1:21" s="93" customFormat="1" ht="14.1" customHeight="1" thickBot="1" x14ac:dyDescent="0.3">
      <c r="A2" s="91"/>
      <c r="B2" s="1166" t="str">
        <f>Translations!$B$5</f>
        <v>Version history</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25">
      <c r="A3" s="91"/>
      <c r="B3" s="1169"/>
      <c r="C3" s="1170"/>
      <c r="D3" s="1171"/>
      <c r="E3" s="1165"/>
      <c r="F3" s="1165"/>
      <c r="G3" s="1165"/>
      <c r="H3" s="1165"/>
      <c r="I3" s="1165"/>
      <c r="J3" s="1165"/>
      <c r="K3" s="1165"/>
      <c r="L3" s="1165"/>
      <c r="M3" s="1165"/>
      <c r="N3" s="1165"/>
      <c r="O3" s="428"/>
      <c r="P3" s="94"/>
      <c r="R3" s="91"/>
      <c r="S3" s="91"/>
      <c r="T3" s="91"/>
      <c r="U3" s="91"/>
    </row>
    <row r="4" spans="1:21" s="93" customFormat="1" ht="14.1" customHeight="1" thickBot="1" x14ac:dyDescent="0.3">
      <c r="A4" s="91"/>
      <c r="B4" s="1172"/>
      <c r="C4" s="1173"/>
      <c r="D4" s="1174"/>
      <c r="E4" s="1165"/>
      <c r="F4" s="1165"/>
      <c r="G4" s="1165"/>
      <c r="H4" s="1165"/>
      <c r="I4" s="1165"/>
      <c r="J4" s="1165"/>
      <c r="K4" s="1165"/>
      <c r="L4" s="1165"/>
      <c r="M4" s="1165"/>
      <c r="N4" s="1165"/>
      <c r="O4" s="428"/>
      <c r="P4" s="94"/>
      <c r="R4" s="91"/>
      <c r="S4" s="91"/>
      <c r="T4" s="91"/>
      <c r="U4" s="91"/>
    </row>
    <row r="5" spans="1:21" s="93" customFormat="1" ht="5.0999999999999996" customHeight="1" x14ac:dyDescent="0.25">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25">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
      <c r="B7" s="94"/>
      <c r="C7" s="144"/>
      <c r="D7" s="144"/>
      <c r="E7" s="144"/>
      <c r="F7" s="144"/>
      <c r="G7" s="144"/>
      <c r="H7" s="144"/>
      <c r="I7" s="144"/>
      <c r="J7" s="144"/>
      <c r="K7" s="144"/>
      <c r="L7" s="144"/>
      <c r="M7" s="144"/>
      <c r="N7" s="144"/>
      <c r="O7" s="428"/>
      <c r="P7" s="94"/>
    </row>
    <row r="8" spans="1:21" ht="12.75" customHeight="1" x14ac:dyDescent="0.2">
      <c r="B8" s="94"/>
      <c r="C8" s="144"/>
      <c r="D8" s="144"/>
      <c r="E8" s="139" t="str">
        <f>Translations!$B$7</f>
        <v>Version</v>
      </c>
      <c r="F8" s="139" t="str">
        <f>Translations!$B$8</f>
        <v>Date</v>
      </c>
      <c r="G8" s="1177" t="str">
        <f>Translations!$B$9</f>
        <v>Description</v>
      </c>
      <c r="H8" s="1177"/>
      <c r="I8" s="1177"/>
      <c r="J8" s="1177"/>
      <c r="K8" s="1177"/>
      <c r="L8" s="1177"/>
      <c r="M8" s="1177"/>
      <c r="N8" s="1177"/>
      <c r="O8" s="428"/>
      <c r="P8" s="94"/>
    </row>
    <row r="9" spans="1:21" ht="12.75" customHeight="1" x14ac:dyDescent="0.2">
      <c r="A9" s="99"/>
      <c r="B9" s="101"/>
      <c r="C9" s="983"/>
      <c r="D9" s="984"/>
      <c r="E9" s="749" t="s">
        <v>3898</v>
      </c>
      <c r="F9" s="745">
        <v>45159</v>
      </c>
      <c r="G9" s="1178" t="str">
        <f>Translations!$B$1889</f>
        <v>first preliminary published version</v>
      </c>
      <c r="H9" s="1179"/>
      <c r="I9" s="1179"/>
      <c r="J9" s="1179"/>
      <c r="K9" s="1179"/>
      <c r="L9" s="1179"/>
      <c r="M9" s="1179"/>
      <c r="N9" s="1179"/>
      <c r="O9" s="428"/>
      <c r="P9" s="94"/>
    </row>
    <row r="10" spans="1:21" ht="13.15" customHeight="1" x14ac:dyDescent="0.2">
      <c r="B10" s="94"/>
      <c r="C10" s="144"/>
      <c r="D10" s="144"/>
      <c r="E10" s="827" t="s">
        <v>3899</v>
      </c>
      <c r="F10" s="824">
        <v>45222</v>
      </c>
      <c r="G10" s="1180" t="str">
        <f>Translations!$B$1890</f>
        <v>Sheet A: UNLOCODE made mandatory</v>
      </c>
      <c r="H10" s="1181"/>
      <c r="I10" s="1181"/>
      <c r="J10" s="1181"/>
      <c r="K10" s="1181"/>
      <c r="L10" s="1181"/>
      <c r="M10" s="1181"/>
      <c r="N10" s="1182"/>
      <c r="O10" s="428"/>
      <c r="P10" s="94"/>
    </row>
    <row r="11" spans="1:21" ht="13.15" customHeight="1" x14ac:dyDescent="0.2">
      <c r="B11" s="94"/>
      <c r="C11" s="144"/>
      <c r="D11" s="144"/>
      <c r="E11" s="986"/>
      <c r="F11" s="825"/>
      <c r="G11" s="1159" t="str">
        <f>Translations!$B$1891</f>
        <v>Sheet B: Calculation of emissions corrected (incl. adding missing factor of 3.664 in the mass balance)</v>
      </c>
      <c r="H11" s="1160"/>
      <c r="I11" s="1160"/>
      <c r="J11" s="1160"/>
      <c r="K11" s="1160"/>
      <c r="L11" s="1160"/>
      <c r="M11" s="1160"/>
      <c r="N11" s="1161"/>
      <c r="O11" s="428"/>
      <c r="P11" s="94"/>
    </row>
    <row r="12" spans="1:21" ht="13.15" customHeight="1" x14ac:dyDescent="0.2">
      <c r="B12" s="94"/>
      <c r="C12" s="144"/>
      <c r="D12" s="144"/>
      <c r="E12" s="986"/>
      <c r="F12" s="825"/>
      <c r="G12" s="1159" t="str">
        <f>Translations!$B$1892</f>
        <v>Sheet C: Inconsistency between cells L16 and L17 fixed</v>
      </c>
      <c r="H12" s="1160"/>
      <c r="I12" s="1160"/>
      <c r="J12" s="1160"/>
      <c r="K12" s="1160"/>
      <c r="L12" s="1160"/>
      <c r="M12" s="1160"/>
      <c r="N12" s="1161"/>
      <c r="O12" s="428"/>
      <c r="P12" s="94"/>
    </row>
    <row r="13" spans="1:21" ht="13.15" customHeight="1" x14ac:dyDescent="0.2">
      <c r="B13" s="94"/>
      <c r="C13" s="144"/>
      <c r="D13" s="144"/>
      <c r="E13" s="986"/>
      <c r="F13" s="825"/>
      <c r="G13" s="1159" t="str">
        <f>Translations!$B$1893</f>
        <v>Sheet D: Electricity exported bug fixed</v>
      </c>
      <c r="H13" s="1160"/>
      <c r="I13" s="1160"/>
      <c r="J13" s="1160"/>
      <c r="K13" s="1160"/>
      <c r="L13" s="1160"/>
      <c r="M13" s="1160"/>
      <c r="N13" s="1161"/>
      <c r="O13" s="428"/>
      <c r="P13" s="94"/>
    </row>
    <row r="14" spans="1:21" ht="13.15" customHeight="1" x14ac:dyDescent="0.2">
      <c r="B14" s="94"/>
      <c r="C14" s="144"/>
      <c r="D14" s="144"/>
      <c r="E14" s="986"/>
      <c r="F14" s="825"/>
      <c r="G14" s="1159" t="str">
        <f>Translations!$B$1894</f>
        <v>Sheet Summary processes: broken references to “production process 1” fixed</v>
      </c>
      <c r="H14" s="1160"/>
      <c r="I14" s="1160"/>
      <c r="J14" s="1160"/>
      <c r="K14" s="1160"/>
      <c r="L14" s="1160"/>
      <c r="M14" s="1160"/>
      <c r="N14" s="1161"/>
      <c r="O14" s="428"/>
      <c r="P14" s="94"/>
    </row>
    <row r="15" spans="1:21" ht="13.15" customHeight="1" x14ac:dyDescent="0.2">
      <c r="B15" s="94"/>
      <c r="C15" s="144"/>
      <c r="D15" s="144"/>
      <c r="E15" s="987"/>
      <c r="F15" s="826"/>
      <c r="G15" s="1185" t="str">
        <f>Translations!$B$1895</f>
        <v>Sheet Summary products: Scrap per t steel/aluminium: values &gt;100% can be entered now</v>
      </c>
      <c r="H15" s="1186"/>
      <c r="I15" s="1186"/>
      <c r="J15" s="1186"/>
      <c r="K15" s="1186"/>
      <c r="L15" s="1186"/>
      <c r="M15" s="1186"/>
      <c r="N15" s="1187"/>
      <c r="O15" s="428"/>
      <c r="P15" s="94"/>
    </row>
    <row r="16" spans="1:21" ht="12.75" customHeight="1" x14ac:dyDescent="0.2">
      <c r="B16" s="94"/>
      <c r="C16" s="144"/>
      <c r="D16" s="144"/>
      <c r="E16" s="749" t="s">
        <v>3904</v>
      </c>
      <c r="F16" s="745">
        <v>45237</v>
      </c>
      <c r="G16" s="1183" t="str">
        <f>Translations!$B$1896</f>
        <v>Fixed bug 'CN code ranges' in sheet Summary_Products</v>
      </c>
      <c r="H16" s="1184"/>
      <c r="I16" s="1184"/>
      <c r="J16" s="1184"/>
      <c r="K16" s="1184"/>
      <c r="L16" s="1184"/>
      <c r="M16" s="1184"/>
      <c r="N16" s="1184"/>
      <c r="O16" s="428"/>
      <c r="P16" s="94"/>
    </row>
    <row r="17" spans="2:16" ht="13.15" customHeight="1" x14ac:dyDescent="0.2">
      <c r="B17" s="94"/>
      <c r="C17" s="144"/>
      <c r="D17" s="144"/>
      <c r="E17" s="827" t="s">
        <v>3923</v>
      </c>
      <c r="F17" s="824">
        <v>45370</v>
      </c>
      <c r="G17" s="1188" t="str">
        <f>Translations!$B$1897</f>
        <v>Improvements and fixed bugs:</v>
      </c>
      <c r="H17" s="1181"/>
      <c r="I17" s="1181"/>
      <c r="J17" s="1181"/>
      <c r="K17" s="1181"/>
      <c r="L17" s="1181"/>
      <c r="M17" s="1181"/>
      <c r="N17" s="1182"/>
      <c r="O17" s="428"/>
      <c r="P17" s="94"/>
    </row>
    <row r="18" spans="2:16" ht="13.15" customHeight="1" x14ac:dyDescent="0.2">
      <c r="B18" s="94"/>
      <c r="C18" s="144"/>
      <c r="D18" s="144"/>
      <c r="E18" s="986"/>
      <c r="F18" s="825"/>
      <c r="G18" s="1159" t="str">
        <f>Translations!$B$1898</f>
        <v>Sheet a_contents: Error in sheet names in table of contents for certain Excel versions</v>
      </c>
      <c r="H18" s="1160"/>
      <c r="I18" s="1160"/>
      <c r="J18" s="1160"/>
      <c r="K18" s="1160"/>
      <c r="L18" s="1160"/>
      <c r="M18" s="1160"/>
      <c r="N18" s="1161"/>
      <c r="O18" s="428"/>
      <c r="P18" s="94"/>
    </row>
    <row r="19" spans="2:16" ht="13.15" customHeight="1" x14ac:dyDescent="0.2">
      <c r="B19" s="94"/>
      <c r="C19" s="144"/>
      <c r="D19" s="144"/>
      <c r="E19" s="986"/>
      <c r="F19" s="825"/>
      <c r="G19" s="1159" t="str">
        <f>Translations!$B$1899</f>
        <v>Sheet b: Link to implementing act corrected</v>
      </c>
      <c r="H19" s="1160"/>
      <c r="I19" s="1160"/>
      <c r="J19" s="1160"/>
      <c r="K19" s="1160"/>
      <c r="L19" s="1160"/>
      <c r="M19" s="1160"/>
      <c r="N19" s="1161"/>
      <c r="O19" s="428"/>
      <c r="P19" s="94"/>
    </row>
    <row r="20" spans="2:16" ht="13.15" customHeight="1" x14ac:dyDescent="0.2">
      <c r="B20" s="94"/>
      <c r="C20" s="144"/>
      <c r="D20" s="144"/>
      <c r="E20" s="986"/>
      <c r="F20" s="825"/>
      <c r="G20" s="1159" t="str">
        <f>Translations!$B$1900</f>
        <v>Sheet A: Inconsistency warning for production routes added</v>
      </c>
      <c r="H20" s="1162"/>
      <c r="I20" s="1162"/>
      <c r="J20" s="1162"/>
      <c r="K20" s="1162"/>
      <c r="L20" s="1162"/>
      <c r="M20" s="1162"/>
      <c r="N20" s="1161"/>
      <c r="O20" s="428"/>
      <c r="P20" s="94"/>
    </row>
    <row r="21" spans="2:16" ht="26.45" customHeight="1" x14ac:dyDescent="0.2">
      <c r="B21" s="94"/>
      <c r="C21" s="144"/>
      <c r="D21" s="144"/>
      <c r="E21" s="986"/>
      <c r="F21" s="825"/>
      <c r="G21" s="1159" t="str">
        <f>Translations!$B$1901</f>
        <v>Sheet B: Source stream calculation corrected (all percentage values need to be entered as numbers [0..100]). A warning for incomplete data has been added.</v>
      </c>
      <c r="H21" s="1160"/>
      <c r="I21" s="1160"/>
      <c r="J21" s="1160"/>
      <c r="K21" s="1160"/>
      <c r="L21" s="1160"/>
      <c r="M21" s="1160"/>
      <c r="N21" s="1161"/>
      <c r="O21" s="428"/>
      <c r="P21" s="94"/>
    </row>
    <row r="22" spans="2:16" ht="13.15" customHeight="1" x14ac:dyDescent="0.2">
      <c r="B22" s="94"/>
      <c r="C22" s="144"/>
      <c r="D22" s="144"/>
      <c r="E22" s="986"/>
      <c r="F22" s="825"/>
      <c r="G22" s="1159" t="str">
        <f>Translations!$B$1902</f>
        <v>Sheet B: PFC emissions (2nd source stream) incl. further improvements</v>
      </c>
      <c r="H22" s="1160"/>
      <c r="I22" s="1160"/>
      <c r="J22" s="1160"/>
      <c r="K22" s="1160"/>
      <c r="L22" s="1160"/>
      <c r="M22" s="1160"/>
      <c r="N22" s="1161"/>
      <c r="O22" s="428"/>
      <c r="P22" s="94"/>
    </row>
    <row r="23" spans="2:16" ht="13.15" customHeight="1" x14ac:dyDescent="0.2">
      <c r="B23" s="94"/>
      <c r="C23" s="144"/>
      <c r="D23" s="144"/>
      <c r="E23" s="986"/>
      <c r="F23" s="825"/>
      <c r="G23" s="1159" t="str">
        <f>Translations!$B$1903</f>
        <v>Sheet C: Fixed inputs and formulae in L25 and L26</v>
      </c>
      <c r="H23" s="1160"/>
      <c r="I23" s="1160"/>
      <c r="J23" s="1160"/>
      <c r="K23" s="1160"/>
      <c r="L23" s="1160"/>
      <c r="M23" s="1160"/>
      <c r="N23" s="1161"/>
      <c r="O23" s="428"/>
      <c r="P23" s="94"/>
    </row>
    <row r="24" spans="2:16" ht="39.6" customHeight="1" x14ac:dyDescent="0.2">
      <c r="B24" s="94"/>
      <c r="C24" s="144"/>
      <c r="D24" s="144"/>
      <c r="E24" s="986"/>
      <c r="F24" s="825"/>
      <c r="G24" s="1159"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60"/>
      <c r="I24" s="1160"/>
      <c r="J24" s="1160"/>
      <c r="K24" s="1160"/>
      <c r="L24" s="1160"/>
      <c r="M24" s="1160"/>
      <c r="N24" s="1161"/>
      <c r="O24" s="428"/>
      <c r="P24" s="94"/>
    </row>
    <row r="25" spans="2:16" ht="13.15" customHeight="1" x14ac:dyDescent="0.2">
      <c r="B25" s="94"/>
      <c r="C25" s="144"/>
      <c r="D25" s="144"/>
      <c r="E25" s="986"/>
      <c r="F25" s="825"/>
      <c r="G25" s="1159" t="str">
        <f>Translations!$B$1905</f>
        <v>Sheet E: More completeness indicators added.</v>
      </c>
      <c r="H25" s="1160"/>
      <c r="I25" s="1160"/>
      <c r="J25" s="1160"/>
      <c r="K25" s="1160"/>
      <c r="L25" s="1160"/>
      <c r="M25" s="1160"/>
      <c r="N25" s="1161"/>
      <c r="O25" s="428"/>
      <c r="P25" s="94"/>
    </row>
    <row r="26" spans="2:16" ht="13.15" customHeight="1" x14ac:dyDescent="0.2">
      <c r="B26" s="94"/>
      <c r="C26" s="144"/>
      <c r="D26" s="144"/>
      <c r="E26" s="986"/>
      <c r="F26" s="825"/>
      <c r="G26" s="1159" t="str">
        <f>Translations!$B$1906</f>
        <v>Sheet E: Navigation area extended to cover all 20 possible precursors</v>
      </c>
      <c r="H26" s="1160"/>
      <c r="I26" s="1160"/>
      <c r="J26" s="1160"/>
      <c r="K26" s="1160"/>
      <c r="L26" s="1160"/>
      <c r="M26" s="1160"/>
      <c r="N26" s="1161"/>
      <c r="O26" s="428"/>
      <c r="P26" s="94"/>
    </row>
    <row r="27" spans="2:16" ht="13.15" customHeight="1" x14ac:dyDescent="0.2">
      <c r="B27" s="94"/>
      <c r="C27" s="144"/>
      <c r="D27" s="144"/>
      <c r="E27" s="986"/>
      <c r="F27" s="825"/>
      <c r="G27" s="1159" t="str">
        <f>Translations!$B$1907</f>
        <v>Sheet F: CHP tool corrected for taking into account emissions from flue gas cleaning.</v>
      </c>
      <c r="H27" s="1162"/>
      <c r="I27" s="1162"/>
      <c r="J27" s="1162"/>
      <c r="K27" s="1162"/>
      <c r="L27" s="1162"/>
      <c r="M27" s="1162"/>
      <c r="N27" s="1161"/>
      <c r="O27" s="428"/>
      <c r="P27" s="94"/>
    </row>
    <row r="28" spans="2:16" ht="13.15" customHeight="1" x14ac:dyDescent="0.2">
      <c r="B28" s="94"/>
      <c r="C28" s="144"/>
      <c r="D28" s="144"/>
      <c r="E28" s="986"/>
      <c r="F28" s="825"/>
      <c r="G28" s="1159" t="str">
        <f>Translations!$B$1908</f>
        <v>Sheet G: Guidance texts have been revised. An additional guidance section for sheet E has been added.</v>
      </c>
      <c r="H28" s="1162"/>
      <c r="I28" s="1162"/>
      <c r="J28" s="1162"/>
      <c r="K28" s="1162"/>
      <c r="L28" s="1162"/>
      <c r="M28" s="1162"/>
      <c r="N28" s="1161"/>
      <c r="O28" s="428"/>
      <c r="P28" s="94"/>
    </row>
    <row r="29" spans="2:16" ht="25.5" customHeight="1" x14ac:dyDescent="0.2">
      <c r="B29" s="94"/>
      <c r="C29" s="144"/>
      <c r="D29" s="144"/>
      <c r="E29" s="986"/>
      <c r="F29" s="825"/>
      <c r="G29" s="1159" t="str">
        <f>Translations!$B$1909</f>
        <v>Sheet Summary_Processes: The processes' activity levels have been added in Table 2.1.a. Corrected  CP due and rebate in the sectio 3 tables.</v>
      </c>
      <c r="H29" s="1160"/>
      <c r="I29" s="1160"/>
      <c r="J29" s="1160"/>
      <c r="K29" s="1160"/>
      <c r="L29" s="1160"/>
      <c r="M29" s="1160"/>
      <c r="N29" s="1161"/>
      <c r="O29" s="428"/>
      <c r="P29" s="94"/>
    </row>
    <row r="30" spans="2:16" ht="13.15" customHeight="1" x14ac:dyDescent="0.2">
      <c r="B30" s="94"/>
      <c r="C30" s="144"/>
      <c r="D30" s="144"/>
      <c r="E30" s="986"/>
      <c r="F30" s="825"/>
      <c r="G30" s="1159" t="str">
        <f>Translations!$B$1910</f>
        <v>Sheet Summary_Products: Consistent units for carbon price due</v>
      </c>
      <c r="H30" s="1160"/>
      <c r="I30" s="1160"/>
      <c r="J30" s="1160"/>
      <c r="K30" s="1160"/>
      <c r="L30" s="1160"/>
      <c r="M30" s="1160"/>
      <c r="N30" s="1161"/>
      <c r="O30" s="428"/>
      <c r="P30" s="94"/>
    </row>
    <row r="31" spans="2:16" ht="13.15" customHeight="1" x14ac:dyDescent="0.2">
      <c r="B31" s="94"/>
      <c r="C31" s="144"/>
      <c r="D31" s="144"/>
      <c r="E31" s="986"/>
      <c r="F31" s="825"/>
      <c r="G31" s="1159" t="str">
        <f>Translations!$B$1911</f>
        <v>Sheet Summary_Products: Qualifying parameters (columns R to AA) made optional</v>
      </c>
      <c r="H31" s="1160"/>
      <c r="I31" s="1160"/>
      <c r="J31" s="1160"/>
      <c r="K31" s="1160"/>
      <c r="L31" s="1160"/>
      <c r="M31" s="1160"/>
      <c r="N31" s="1161"/>
      <c r="O31" s="428"/>
      <c r="P31" s="94"/>
    </row>
    <row r="32" spans="2:16" ht="13.15" customHeight="1" x14ac:dyDescent="0.2">
      <c r="B32" s="94"/>
      <c r="C32" s="144"/>
      <c r="D32" s="144"/>
      <c r="E32" s="986"/>
      <c r="F32" s="825"/>
      <c r="G32" s="1159" t="str">
        <f>Translations!$B$1912</f>
        <v>General: Consistent units for the good "Electricity" expressed as MWh</v>
      </c>
      <c r="H32" s="1160"/>
      <c r="I32" s="1160"/>
      <c r="J32" s="1160"/>
      <c r="K32" s="1160"/>
      <c r="L32" s="1160"/>
      <c r="M32" s="1160"/>
      <c r="N32" s="1161"/>
      <c r="O32" s="428"/>
      <c r="P32" s="94"/>
    </row>
    <row r="33" spans="2:16" ht="13.15" customHeight="1" x14ac:dyDescent="0.2">
      <c r="B33" s="94"/>
      <c r="C33" s="144"/>
      <c r="D33" s="144"/>
      <c r="E33" s="986"/>
      <c r="F33" s="825"/>
      <c r="G33" s="1159" t="str">
        <f>Translations!$B$1913</f>
        <v>General: Further clarification in guidance texts at several locations</v>
      </c>
      <c r="H33" s="1160"/>
      <c r="I33" s="1160"/>
      <c r="J33" s="1160"/>
      <c r="K33" s="1160"/>
      <c r="L33" s="1160"/>
      <c r="M33" s="1160"/>
      <c r="N33" s="1161"/>
      <c r="O33" s="428"/>
      <c r="P33" s="94"/>
    </row>
    <row r="34" spans="2:16" ht="13.15" customHeight="1" x14ac:dyDescent="0.2">
      <c r="B34" s="94"/>
      <c r="C34" s="144"/>
      <c r="D34" s="144"/>
      <c r="E34" s="986"/>
      <c r="F34" s="825"/>
      <c r="G34" s="1159" t="str">
        <f>Translations!$B$1914</f>
        <v>General: Uniform formatting, conditional formats improved</v>
      </c>
      <c r="H34" s="1160"/>
      <c r="I34" s="1160"/>
      <c r="J34" s="1160"/>
      <c r="K34" s="1160"/>
      <c r="L34" s="1160"/>
      <c r="M34" s="1160"/>
      <c r="N34" s="1161"/>
      <c r="O34" s="428"/>
      <c r="P34" s="94"/>
    </row>
    <row r="35" spans="2:16" ht="56.25" customHeight="1" x14ac:dyDescent="0.2">
      <c r="B35" s="94"/>
      <c r="C35" s="144"/>
      <c r="D35" s="144"/>
      <c r="E35" s="749" t="s">
        <v>4212</v>
      </c>
      <c r="F35" s="745">
        <v>45390</v>
      </c>
      <c r="G35" s="1189" t="str">
        <f>Translations!$B$2104</f>
        <v>Minor errors corrected:
Sheet a_contents: Broken hyperlinks fixed
Sheet A: Double reference to PP17 (section 5) corrected
Sheet E: Wrong guidance text under item v. corrected</v>
      </c>
      <c r="H35" s="1190"/>
      <c r="I35" s="1190"/>
      <c r="J35" s="1190"/>
      <c r="K35" s="1190"/>
      <c r="L35" s="1190"/>
      <c r="M35" s="1190"/>
      <c r="N35" s="1191"/>
      <c r="O35" s="428"/>
      <c r="P35" s="94"/>
    </row>
    <row r="36" spans="2:16" ht="13.15" customHeight="1" x14ac:dyDescent="0.2">
      <c r="B36" s="94"/>
      <c r="C36" s="144"/>
      <c r="D36" s="144"/>
      <c r="E36" s="827" t="s">
        <v>4250</v>
      </c>
      <c r="F36" s="824">
        <v>45448</v>
      </c>
      <c r="G36" s="1180" t="str">
        <f>Translations!$B$2116</f>
        <v>Minor revision of the CN code list, field for further information on carbon price instruments added</v>
      </c>
      <c r="H36" s="1181"/>
      <c r="I36" s="1181"/>
      <c r="J36" s="1181"/>
      <c r="K36" s="1181"/>
      <c r="L36" s="1181"/>
      <c r="M36" s="1181"/>
      <c r="N36" s="1182"/>
      <c r="O36" s="428"/>
      <c r="P36" s="94"/>
    </row>
    <row r="37" spans="2:16" ht="13.15" customHeight="1" x14ac:dyDescent="0.2">
      <c r="B37" s="94"/>
      <c r="C37" s="144"/>
      <c r="D37" s="144"/>
      <c r="E37" s="987"/>
      <c r="F37" s="826"/>
      <c r="G37" s="1185" t="str">
        <f>Translations!$B$2118</f>
        <v>Conditional format bug in sheet Summary_Products corrected</v>
      </c>
      <c r="H37" s="1186"/>
      <c r="I37" s="1186"/>
      <c r="J37" s="1186"/>
      <c r="K37" s="1186"/>
      <c r="L37" s="1186"/>
      <c r="M37" s="1186"/>
      <c r="N37" s="1187"/>
      <c r="O37" s="428"/>
      <c r="P37" s="94"/>
    </row>
    <row r="38" spans="2:16" ht="13.15" customHeight="1" x14ac:dyDescent="0.2">
      <c r="B38" s="94"/>
      <c r="C38" s="144"/>
      <c r="D38" s="144"/>
      <c r="E38" s="749" t="s">
        <v>4260</v>
      </c>
      <c r="F38" s="745">
        <v>45639</v>
      </c>
      <c r="G38" s="1189" t="s">
        <v>4261</v>
      </c>
      <c r="H38" s="1190"/>
      <c r="I38" s="1190"/>
      <c r="J38" s="1190"/>
      <c r="K38" s="1190"/>
      <c r="L38" s="1190"/>
      <c r="M38" s="1190"/>
      <c r="N38" s="1191"/>
      <c r="O38" s="428"/>
      <c r="P38" s="94"/>
    </row>
    <row r="39" spans="2:16" ht="13.15" customHeight="1" x14ac:dyDescent="0.2">
      <c r="B39" s="94"/>
      <c r="C39" s="144"/>
      <c r="D39" s="144"/>
      <c r="E39" s="749"/>
      <c r="F39" s="745"/>
      <c r="G39" s="1189"/>
      <c r="H39" s="1190"/>
      <c r="I39" s="1190"/>
      <c r="J39" s="1190"/>
      <c r="K39" s="1190"/>
      <c r="L39" s="1190"/>
      <c r="M39" s="1190"/>
      <c r="N39" s="1191"/>
      <c r="O39" s="428"/>
      <c r="P39" s="94"/>
    </row>
    <row r="40" spans="2:16" ht="13.15" customHeight="1" x14ac:dyDescent="0.2">
      <c r="B40" s="94"/>
      <c r="C40" s="144"/>
      <c r="D40" s="144"/>
      <c r="E40" s="749"/>
      <c r="F40" s="745"/>
      <c r="G40" s="1189"/>
      <c r="H40" s="1190"/>
      <c r="I40" s="1190"/>
      <c r="J40" s="1190"/>
      <c r="K40" s="1190"/>
      <c r="L40" s="1190"/>
      <c r="M40" s="1190"/>
      <c r="N40" s="1191"/>
      <c r="O40" s="428"/>
      <c r="P40" s="94"/>
    </row>
    <row r="41" spans="2:16" ht="13.15" customHeight="1" x14ac:dyDescent="0.2">
      <c r="B41" s="94"/>
      <c r="C41" s="144"/>
      <c r="D41" s="144"/>
      <c r="E41" s="749"/>
      <c r="F41" s="745"/>
      <c r="G41" s="1189"/>
      <c r="H41" s="1190"/>
      <c r="I41" s="1190"/>
      <c r="J41" s="1190"/>
      <c r="K41" s="1190"/>
      <c r="L41" s="1190"/>
      <c r="M41" s="1190"/>
      <c r="N41" s="1191"/>
      <c r="O41" s="428"/>
      <c r="P41" s="94"/>
    </row>
    <row r="42" spans="2:16" ht="13.15" customHeight="1" x14ac:dyDescent="0.2">
      <c r="B42" s="94"/>
      <c r="C42" s="144"/>
      <c r="D42" s="144"/>
      <c r="E42" s="749"/>
      <c r="F42" s="745"/>
      <c r="G42" s="1189"/>
      <c r="H42" s="1190"/>
      <c r="I42" s="1190"/>
      <c r="J42" s="1190"/>
      <c r="K42" s="1190"/>
      <c r="L42" s="1190"/>
      <c r="M42" s="1190"/>
      <c r="N42" s="1191"/>
      <c r="O42" s="428"/>
      <c r="P42" s="94"/>
    </row>
    <row r="43" spans="2:16" ht="13.15" customHeight="1" x14ac:dyDescent="0.2">
      <c r="B43" s="94"/>
      <c r="C43" s="144"/>
      <c r="D43" s="144"/>
      <c r="E43" s="749"/>
      <c r="F43" s="745"/>
      <c r="G43" s="1189"/>
      <c r="H43" s="1190"/>
      <c r="I43" s="1190"/>
      <c r="J43" s="1190"/>
      <c r="K43" s="1190"/>
      <c r="L43" s="1190"/>
      <c r="M43" s="1190"/>
      <c r="N43" s="1191"/>
      <c r="O43" s="428"/>
      <c r="P43" s="94"/>
    </row>
    <row r="44" spans="2:16" ht="13.15" customHeight="1" x14ac:dyDescent="0.2">
      <c r="B44" s="94"/>
      <c r="C44" s="144"/>
      <c r="D44" s="144"/>
      <c r="E44" s="749"/>
      <c r="F44" s="745"/>
      <c r="G44" s="1189"/>
      <c r="H44" s="1190"/>
      <c r="I44" s="1190"/>
      <c r="J44" s="1190"/>
      <c r="K44" s="1190"/>
      <c r="L44" s="1190"/>
      <c r="M44" s="1190"/>
      <c r="N44" s="1191"/>
      <c r="O44" s="428"/>
      <c r="P44" s="94"/>
    </row>
    <row r="45" spans="2:16" ht="13.15" customHeight="1" x14ac:dyDescent="0.2">
      <c r="B45" s="94"/>
      <c r="C45" s="144"/>
      <c r="D45" s="144"/>
      <c r="E45" s="749"/>
      <c r="F45" s="745"/>
      <c r="G45" s="1189"/>
      <c r="H45" s="1190"/>
      <c r="I45" s="1190"/>
      <c r="J45" s="1190"/>
      <c r="K45" s="1190"/>
      <c r="L45" s="1190"/>
      <c r="M45" s="1190"/>
      <c r="N45" s="1191"/>
      <c r="O45" s="428"/>
      <c r="P45" s="94"/>
    </row>
    <row r="46" spans="2:16" ht="13.15" customHeight="1" x14ac:dyDescent="0.2">
      <c r="B46" s="94"/>
      <c r="C46" s="144"/>
      <c r="D46" s="144"/>
      <c r="E46" s="749"/>
      <c r="F46" s="745"/>
      <c r="G46" s="1189"/>
      <c r="H46" s="1190"/>
      <c r="I46" s="1190"/>
      <c r="J46" s="1190"/>
      <c r="K46" s="1190"/>
      <c r="L46" s="1190"/>
      <c r="M46" s="1190"/>
      <c r="N46" s="1191"/>
      <c r="O46" s="428"/>
      <c r="P46" s="94"/>
    </row>
    <row r="47" spans="2:16" ht="12.75" customHeight="1" x14ac:dyDescent="0.2">
      <c r="B47" s="94"/>
      <c r="C47" s="144"/>
      <c r="D47" s="144"/>
      <c r="E47" s="749"/>
      <c r="F47" s="745"/>
      <c r="G47" s="1183"/>
      <c r="H47" s="1184"/>
      <c r="I47" s="1184"/>
      <c r="J47" s="1184"/>
      <c r="K47" s="1184"/>
      <c r="L47" s="1184"/>
      <c r="M47" s="1184"/>
      <c r="N47" s="1184"/>
      <c r="O47" s="428"/>
      <c r="P47" s="94"/>
    </row>
    <row r="48" spans="2:16" ht="12.75" customHeight="1" x14ac:dyDescent="0.2">
      <c r="B48" s="94"/>
      <c r="C48" s="144"/>
      <c r="D48" s="144"/>
      <c r="E48" s="749"/>
      <c r="F48" s="745"/>
      <c r="G48" s="1183"/>
      <c r="H48" s="1184"/>
      <c r="I48" s="1184"/>
      <c r="J48" s="1184"/>
      <c r="K48" s="1184"/>
      <c r="L48" s="1184"/>
      <c r="M48" s="1184"/>
      <c r="N48" s="1184"/>
      <c r="O48" s="428"/>
      <c r="P48" s="94"/>
    </row>
    <row r="49" spans="1:16" ht="12.75" customHeight="1" x14ac:dyDescent="0.2">
      <c r="B49" s="94"/>
      <c r="C49" s="144"/>
      <c r="D49" s="144"/>
      <c r="E49" s="749"/>
      <c r="F49" s="745"/>
      <c r="G49" s="1183"/>
      <c r="H49" s="1184"/>
      <c r="I49" s="1184"/>
      <c r="J49" s="1184"/>
      <c r="K49" s="1184"/>
      <c r="L49" s="1184"/>
      <c r="M49" s="1184"/>
      <c r="N49" s="1184"/>
      <c r="O49" s="428"/>
      <c r="P49" s="94"/>
    </row>
    <row r="50" spans="1:16" ht="12.75" customHeight="1" x14ac:dyDescent="0.2">
      <c r="B50" s="94"/>
      <c r="C50" s="144"/>
      <c r="D50" s="144"/>
      <c r="E50" s="749"/>
      <c r="F50" s="745"/>
      <c r="G50" s="1183"/>
      <c r="H50" s="1184"/>
      <c r="I50" s="1184"/>
      <c r="J50" s="1184"/>
      <c r="K50" s="1184"/>
      <c r="L50" s="1184"/>
      <c r="M50" s="1184"/>
      <c r="N50" s="1184"/>
      <c r="O50" s="428"/>
      <c r="P50" s="94"/>
    </row>
    <row r="51" spans="1:16" ht="12.75" customHeight="1" x14ac:dyDescent="0.2">
      <c r="B51" s="94"/>
      <c r="C51" s="144"/>
      <c r="D51" s="144"/>
      <c r="E51" s="144"/>
      <c r="F51" s="144"/>
      <c r="G51" s="144"/>
      <c r="H51" s="144"/>
      <c r="I51" s="144"/>
      <c r="J51" s="144"/>
      <c r="K51" s="144"/>
      <c r="L51" s="144"/>
      <c r="M51" s="144"/>
      <c r="N51" s="144"/>
      <c r="O51" s="428"/>
      <c r="P51" s="94"/>
    </row>
    <row r="52" spans="1:16" ht="12.75" customHeight="1" thickBot="1" x14ac:dyDescent="0.25">
      <c r="A52" s="99"/>
      <c r="B52" s="985"/>
      <c r="C52" s="746"/>
      <c r="D52" s="747"/>
      <c r="E52" s="747"/>
      <c r="F52" s="747"/>
      <c r="G52" s="747"/>
      <c r="H52" s="747"/>
      <c r="I52" s="747"/>
      <c r="J52" s="747"/>
      <c r="K52" s="747"/>
      <c r="L52" s="747"/>
      <c r="M52" s="747"/>
      <c r="N52" s="747"/>
      <c r="O52" s="748"/>
      <c r="P52" s="94"/>
    </row>
    <row r="53" spans="1:16" s="91" customFormat="1" ht="12.75" hidden="1" customHeight="1" x14ac:dyDescent="0.25">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Translations!$B$288</f>
        <v>Tools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25">
      <c r="B3" s="1169"/>
      <c r="C3" s="1170"/>
      <c r="D3" s="1171"/>
      <c r="E3" s="1165"/>
      <c r="F3" s="1165"/>
      <c r="G3" s="1165" t="str">
        <f>IFERROR(HYPERLINK("#"&amp;ADDRESS(ROW($A$1)+MATCH(R3,$A:$A,0)-1,3),INDEX($R:$R,MATCH(R3,$A:$A,0))),"")</f>
        <v>Cogeneration Tool</v>
      </c>
      <c r="H3" s="1165"/>
      <c r="I3" s="1165" t="str">
        <f>IFERROR(HYPERLINK("#"&amp;ADDRESS(ROW($A$1)+MATCH(T3,$A:$A,0)-1,3),INDEX($R:$R,MATCH(T3,$A:$A,0))),"")</f>
        <v>Tool for carbon price due</v>
      </c>
      <c r="J3" s="1165"/>
      <c r="K3" s="1165" t="str">
        <f>IFERROR(HYPERLINK("#"&amp;ADDRESS(ROW($A$1)+MATCH(V3,$A:$A,0)-1,3),INDEX($R:$R,MATCH(V3,$A:$A,0))),"")</f>
        <v/>
      </c>
      <c r="L3" s="1165"/>
      <c r="M3" s="1165" t="str">
        <f>IFERROR(HYPERLINK("#"&amp;ADDRESS(ROW($A$1)+MATCH(X3,$A:$A,0)-1,3),INDEX($R:$R,MATCH(X3,$A:$A,0))),"")</f>
        <v/>
      </c>
      <c r="N3" s="1165"/>
      <c r="O3" s="428"/>
      <c r="R3" s="302">
        <v>1</v>
      </c>
      <c r="S3" s="303"/>
      <c r="T3" s="303">
        <v>2</v>
      </c>
      <c r="U3" s="303"/>
      <c r="V3" s="303">
        <v>3</v>
      </c>
      <c r="W3" s="303"/>
      <c r="X3" s="304">
        <v>4</v>
      </c>
    </row>
    <row r="4" spans="1:24" ht="14.1" customHeight="1" thickBot="1" x14ac:dyDescent="0.3">
      <c r="B4" s="1172"/>
      <c r="C4" s="1173"/>
      <c r="D4" s="1174"/>
      <c r="E4" s="1165"/>
      <c r="F4" s="1165"/>
      <c r="G4" s="1165" t="str">
        <f>IFERROR(HYPERLINK("#"&amp;ADDRESS(ROW($A$1)+MATCH(R4,$A:$A,0)-1,3),INDEX($R:$R,MATCH(R4,$A:$A,0))),"")</f>
        <v/>
      </c>
      <c r="H4" s="1165"/>
      <c r="I4" s="1165" t="str">
        <f>IFERROR(HYPERLINK("#"&amp;ADDRESS(ROW($A$1)+MATCH(T4,$A:$A,0)-1,3),INDEX($R:$R,MATCH(T4,$A:$A,0))),"")</f>
        <v/>
      </c>
      <c r="J4" s="1165"/>
      <c r="K4" s="1165" t="str">
        <f>IFERROR(HYPERLINK("#"&amp;ADDRESS(ROW($A$1)+MATCH(V4,$A:$A,0)-1,3),INDEX($R:$R,MATCH(V4,$A:$A,0))),"")</f>
        <v/>
      </c>
      <c r="L4" s="1165"/>
      <c r="M4" s="1165" t="str">
        <f>IFERROR(HYPERLINK("#"&amp;ADDRESS(ROW($A$1)+MATCH(X4,$A:$A,0)-1,3),INDEX($R:$R,MATCH(X4,$A:$A,0))),"")</f>
        <v/>
      </c>
      <c r="N4" s="1165"/>
      <c r="O4" s="428"/>
      <c r="R4" s="305">
        <v>5</v>
      </c>
      <c r="S4" s="156"/>
      <c r="T4" s="156">
        <v>6</v>
      </c>
      <c r="U4" s="156"/>
      <c r="V4" s="156">
        <v>7</v>
      </c>
      <c r="W4" s="156"/>
      <c r="X4" s="306">
        <v>8</v>
      </c>
    </row>
    <row r="5" spans="1:24" ht="5.0999999999999996" customHeight="1" x14ac:dyDescent="0.25">
      <c r="B5" s="94"/>
      <c r="C5" s="144"/>
      <c r="D5" s="144"/>
      <c r="E5" s="144"/>
      <c r="F5" s="144"/>
      <c r="G5" s="144"/>
      <c r="H5" s="144"/>
      <c r="I5" s="144"/>
      <c r="J5" s="144"/>
      <c r="K5" s="144"/>
      <c r="L5" s="144"/>
      <c r="M5" s="144"/>
      <c r="N5" s="144"/>
      <c r="O5" s="428"/>
    </row>
    <row r="6" spans="1:24" ht="25.5" customHeight="1" x14ac:dyDescent="0.25">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25">
      <c r="B7" s="94"/>
      <c r="C7" s="144"/>
      <c r="D7" s="144"/>
      <c r="E7" s="144"/>
      <c r="F7" s="144"/>
      <c r="G7" s="144"/>
      <c r="H7" s="144"/>
      <c r="I7" s="144"/>
      <c r="J7" s="144"/>
      <c r="K7" s="144"/>
      <c r="L7" s="144"/>
      <c r="M7" s="144"/>
      <c r="N7" s="144"/>
      <c r="O7" s="428"/>
    </row>
    <row r="8" spans="1:24" ht="18" customHeight="1" x14ac:dyDescent="0.25">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
      <c r="B9" s="94"/>
      <c r="C9" s="948"/>
      <c r="D9" s="948"/>
      <c r="E9" s="948"/>
      <c r="F9" s="948"/>
      <c r="G9" s="948"/>
      <c r="H9" s="948"/>
      <c r="I9" s="948"/>
      <c r="J9" s="948"/>
      <c r="K9" s="948"/>
      <c r="L9" s="948"/>
      <c r="M9" s="949"/>
      <c r="N9" s="949"/>
      <c r="O9" s="428"/>
    </row>
    <row r="10" spans="1:24" ht="12.75" customHeight="1" x14ac:dyDescent="0.2">
      <c r="B10" s="94"/>
      <c r="C10" s="948"/>
      <c r="D10" s="950"/>
      <c r="E10" s="1344" t="str">
        <f>Translations!$B$291</f>
        <v>This is a tool for attributing fuels and emissions of CHPs to heat and electricity output.</v>
      </c>
      <c r="F10" s="1344"/>
      <c r="G10" s="1344"/>
      <c r="H10" s="1344"/>
      <c r="I10" s="1344"/>
      <c r="J10" s="1344"/>
      <c r="K10" s="1344"/>
      <c r="L10" s="1344"/>
      <c r="M10" s="1344"/>
      <c r="N10" s="1344"/>
      <c r="O10" s="428"/>
    </row>
    <row r="11" spans="1:24" ht="25.9" customHeight="1" x14ac:dyDescent="0.2">
      <c r="B11" s="94"/>
      <c r="C11" s="948"/>
      <c r="D11" s="951"/>
      <c r="E11" s="1344"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4"/>
      <c r="G11" s="1344"/>
      <c r="H11" s="1344"/>
      <c r="I11" s="1344"/>
      <c r="J11" s="1344"/>
      <c r="K11" s="1344"/>
      <c r="L11" s="1344"/>
      <c r="M11" s="1344"/>
      <c r="N11" s="1344"/>
      <c r="O11" s="428"/>
    </row>
    <row r="12" spans="1:24" ht="25.5" customHeight="1" x14ac:dyDescent="0.2">
      <c r="B12" s="94"/>
      <c r="C12" s="948"/>
      <c r="D12" s="951"/>
      <c r="E12" s="1344"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4"/>
      <c r="G12" s="1344"/>
      <c r="H12" s="1344"/>
      <c r="I12" s="1344"/>
      <c r="J12" s="1344"/>
      <c r="K12" s="1344"/>
      <c r="L12" s="1344"/>
      <c r="M12" s="1344"/>
      <c r="N12" s="1344"/>
      <c r="O12" s="428"/>
    </row>
    <row r="13" spans="1:24" ht="5.0999999999999996" customHeight="1" x14ac:dyDescent="0.2">
      <c r="B13" s="94"/>
      <c r="C13" s="948"/>
      <c r="D13" s="948"/>
      <c r="E13" s="948"/>
      <c r="F13" s="948"/>
      <c r="G13" s="948"/>
      <c r="H13" s="948"/>
      <c r="I13" s="948"/>
      <c r="J13" s="948"/>
      <c r="K13" s="948"/>
      <c r="L13" s="948"/>
      <c r="M13" s="949"/>
      <c r="N13" s="949"/>
      <c r="O13" s="428"/>
    </row>
    <row r="14" spans="1:24" ht="12.75" customHeight="1" x14ac:dyDescent="0.25">
      <c r="B14" s="94"/>
      <c r="C14" s="952">
        <v>1</v>
      </c>
      <c r="D14" s="1345" t="str">
        <f>Translations!$B$294</f>
        <v>Tool to calculate the emissions attributable to heat production in combined heat and power units (CHP)</v>
      </c>
      <c r="E14" s="1346"/>
      <c r="F14" s="1346"/>
      <c r="G14" s="1346"/>
      <c r="H14" s="1346"/>
      <c r="I14" s="1346"/>
      <c r="J14" s="1346"/>
      <c r="K14" s="1346"/>
      <c r="L14" s="1346"/>
      <c r="M14" s="1346"/>
      <c r="N14" s="1346"/>
      <c r="O14" s="428"/>
    </row>
    <row r="15" spans="1:24" ht="5.0999999999999996" customHeight="1" x14ac:dyDescent="0.2">
      <c r="B15" s="94"/>
      <c r="C15" s="948"/>
      <c r="D15" s="948"/>
      <c r="E15" s="948"/>
      <c r="F15" s="948"/>
      <c r="G15" s="948"/>
      <c r="H15" s="948"/>
      <c r="I15" s="948"/>
      <c r="J15" s="948"/>
      <c r="K15" s="948"/>
      <c r="L15" s="948"/>
      <c r="M15" s="949"/>
      <c r="N15" s="949"/>
      <c r="O15" s="428"/>
    </row>
    <row r="16" spans="1:24" ht="12.75" customHeight="1" x14ac:dyDescent="0.2">
      <c r="B16" s="94"/>
      <c r="C16" s="948"/>
      <c r="D16" s="953" t="s">
        <v>4</v>
      </c>
      <c r="E16" s="1263" t="str">
        <f>Translations!$B$295</f>
        <v>Total amount of fuel input into CHP units</v>
      </c>
      <c r="F16" s="1263"/>
      <c r="G16" s="1263"/>
      <c r="H16" s="1263"/>
      <c r="I16" s="1263"/>
      <c r="J16" s="1263"/>
      <c r="K16" s="1263"/>
      <c r="L16" s="1263"/>
      <c r="M16" s="1263"/>
      <c r="N16" s="1263"/>
      <c r="O16" s="428"/>
    </row>
    <row r="17" spans="1:24" ht="25.9" customHeight="1" x14ac:dyDescent="0.2">
      <c r="B17" s="94"/>
      <c r="C17" s="948"/>
      <c r="D17" s="948"/>
      <c r="E17" s="1348" t="str">
        <f>Translations!$B$296</f>
        <v>Please enter here the annual fuel input into the CHP unit, the net amount of heat produced and the net amount of electricity (or mechanical energy, where applicable) produced by the CHP.</v>
      </c>
      <c r="F17" s="1343"/>
      <c r="G17" s="1343"/>
      <c r="H17" s="1343"/>
      <c r="I17" s="1343"/>
      <c r="J17" s="1343"/>
      <c r="K17" s="1343"/>
      <c r="L17" s="1343"/>
      <c r="M17" s="1343"/>
      <c r="N17" s="1343"/>
      <c r="O17" s="428"/>
    </row>
    <row r="18" spans="1:24" ht="5.0999999999999996" customHeight="1" x14ac:dyDescent="0.2">
      <c r="B18" s="94"/>
      <c r="C18" s="948"/>
      <c r="D18" s="144"/>
      <c r="E18" s="144"/>
      <c r="F18" s="144"/>
      <c r="G18" s="144"/>
      <c r="H18" s="144"/>
      <c r="I18" s="144"/>
      <c r="J18" s="144"/>
      <c r="K18" s="144"/>
      <c r="L18" s="144"/>
      <c r="M18" s="144"/>
      <c r="N18" s="144"/>
      <c r="O18" s="428"/>
    </row>
    <row r="19" spans="1:24" s="244" customFormat="1" ht="38.85" customHeight="1" x14ac:dyDescent="0.2">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25">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25">
      <c r="B22" s="94"/>
      <c r="C22" s="313"/>
      <c r="D22" s="313"/>
      <c r="E22" s="313"/>
      <c r="F22" s="313"/>
      <c r="G22" s="313"/>
      <c r="H22" s="313"/>
      <c r="I22" s="144"/>
      <c r="J22" s="144"/>
      <c r="K22" s="144"/>
      <c r="L22" s="144"/>
      <c r="M22" s="144"/>
      <c r="N22" s="144"/>
      <c r="O22" s="428"/>
    </row>
    <row r="23" spans="1:24" ht="12.75" customHeight="1" x14ac:dyDescent="0.2">
      <c r="B23" s="94"/>
      <c r="C23" s="948"/>
      <c r="D23" s="953" t="s">
        <v>48</v>
      </c>
      <c r="E23" s="1263" t="str">
        <f>Translations!$B$302</f>
        <v>Total emissions from CHP</v>
      </c>
      <c r="F23" s="1263"/>
      <c r="G23" s="1263"/>
      <c r="H23" s="1263"/>
      <c r="I23" s="1263"/>
      <c r="J23" s="1263"/>
      <c r="K23" s="1263"/>
      <c r="L23" s="1263"/>
      <c r="M23" s="1263"/>
      <c r="N23" s="1263"/>
      <c r="O23" s="428"/>
    </row>
    <row r="24" spans="1:24" ht="12.75" customHeight="1" x14ac:dyDescent="0.2">
      <c r="B24" s="94"/>
      <c r="C24" s="948"/>
      <c r="D24" s="955"/>
      <c r="E24" s="1230" t="str">
        <f>Translations!$B$303</f>
        <v>Values should distinguish between emissions from fuel input and from flue gas cleaning.</v>
      </c>
      <c r="F24" s="1343"/>
      <c r="G24" s="1343"/>
      <c r="H24" s="1343"/>
      <c r="I24" s="1343"/>
      <c r="J24" s="1343"/>
      <c r="K24" s="1343"/>
      <c r="L24" s="1343"/>
      <c r="M24" s="1343"/>
      <c r="N24" s="1343"/>
      <c r="O24" s="428"/>
    </row>
    <row r="25" spans="1:24" ht="38.85" customHeight="1" x14ac:dyDescent="0.2">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25">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25">
      <c r="B27" s="94"/>
      <c r="C27" s="313"/>
      <c r="D27" s="313"/>
      <c r="E27" s="313"/>
      <c r="F27" s="313"/>
      <c r="G27" s="313"/>
      <c r="H27" s="313"/>
      <c r="I27" s="313"/>
      <c r="J27" s="313"/>
      <c r="K27" s="313"/>
      <c r="L27" s="313"/>
      <c r="M27" s="313"/>
      <c r="N27" s="313"/>
      <c r="O27" s="428"/>
    </row>
    <row r="28" spans="1:24" ht="12.75" customHeight="1" x14ac:dyDescent="0.25">
      <c r="B28" s="94"/>
      <c r="C28" s="313"/>
      <c r="D28" s="953" t="s">
        <v>49</v>
      </c>
      <c r="E28" s="1349" t="str">
        <f>Translations!$B$308</f>
        <v>Default efficiencies:</v>
      </c>
      <c r="F28" s="1349"/>
      <c r="G28" s="1349"/>
      <c r="H28" s="1349"/>
      <c r="I28" s="1349"/>
      <c r="J28" s="316" t="str">
        <f>Translations!$B$309</f>
        <v>Heat:</v>
      </c>
      <c r="K28" s="317">
        <v>0.55000000000000004</v>
      </c>
      <c r="L28" s="316" t="str">
        <f>Translations!$B$310</f>
        <v>Electricity:</v>
      </c>
      <c r="M28" s="317">
        <v>0.25</v>
      </c>
      <c r="N28" s="144"/>
      <c r="O28" s="428"/>
    </row>
    <row r="29" spans="1:24" ht="5.0999999999999996" customHeight="1" x14ac:dyDescent="0.25">
      <c r="B29" s="94"/>
      <c r="C29" s="313"/>
      <c r="D29" s="313"/>
      <c r="E29" s="313"/>
      <c r="F29" s="313"/>
      <c r="G29" s="313"/>
      <c r="H29" s="313"/>
      <c r="I29" s="144"/>
      <c r="J29" s="144"/>
      <c r="K29" s="144"/>
      <c r="L29" s="144"/>
      <c r="M29" s="144"/>
      <c r="N29" s="144"/>
      <c r="O29" s="428"/>
    </row>
    <row r="30" spans="1:24" ht="12.75" customHeight="1" x14ac:dyDescent="0.2">
      <c r="B30" s="94"/>
      <c r="C30" s="948"/>
      <c r="D30" s="953" t="s">
        <v>377</v>
      </c>
      <c r="E30" s="1263" t="str">
        <f>Translations!$B$311</f>
        <v>Efficiencies for heat and electricity</v>
      </c>
      <c r="F30" s="1347"/>
      <c r="G30" s="1347"/>
      <c r="H30" s="1347"/>
      <c r="I30" s="1347"/>
      <c r="J30" s="1347"/>
      <c r="K30" s="1347"/>
      <c r="L30" s="1347"/>
      <c r="M30" s="1347"/>
      <c r="N30" s="1347"/>
      <c r="O30" s="428"/>
    </row>
    <row r="31" spans="1:24" ht="12.75" customHeight="1" x14ac:dyDescent="0.2">
      <c r="B31" s="94"/>
      <c r="C31" s="948"/>
      <c r="D31" s="955"/>
      <c r="E31" s="1230" t="str">
        <f>Translations!$B$312</f>
        <v>These values are dimensionless and automatically calculated from inputs in (a) to (c) above.</v>
      </c>
      <c r="F31" s="1343"/>
      <c r="G31" s="1343"/>
      <c r="H31" s="1343"/>
      <c r="I31" s="1343"/>
      <c r="J31" s="1343"/>
      <c r="K31" s="1343"/>
      <c r="L31" s="1343"/>
      <c r="M31" s="1343"/>
      <c r="N31" s="1343"/>
      <c r="O31" s="428"/>
    </row>
    <row r="32" spans="1:24" ht="38.65" customHeight="1" x14ac:dyDescent="0.2">
      <c r="B32" s="94"/>
      <c r="C32" s="948"/>
      <c r="D32" s="955"/>
      <c r="E32" s="1230"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3"/>
      <c r="G32" s="1343"/>
      <c r="H32" s="1343"/>
      <c r="I32" s="1343"/>
      <c r="J32" s="1343"/>
      <c r="K32" s="1343"/>
      <c r="L32" s="1343"/>
      <c r="M32" s="1343"/>
      <c r="N32" s="1343"/>
      <c r="O32" s="428"/>
    </row>
    <row r="33" spans="2:15" ht="38.85" customHeight="1" x14ac:dyDescent="0.2">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25">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25">
      <c r="B35" s="94"/>
      <c r="C35" s="313"/>
      <c r="D35" s="313"/>
      <c r="E35" s="313"/>
      <c r="F35" s="313"/>
      <c r="G35" s="313"/>
      <c r="H35" s="313"/>
      <c r="I35" s="144"/>
      <c r="J35" s="144"/>
      <c r="K35" s="144"/>
      <c r="L35" s="144"/>
      <c r="M35" s="144"/>
      <c r="N35" s="144"/>
      <c r="O35" s="428"/>
    </row>
    <row r="36" spans="2:15" ht="12.75" customHeight="1" x14ac:dyDescent="0.2">
      <c r="B36" s="94"/>
      <c r="C36" s="948"/>
      <c r="D36" s="953" t="s">
        <v>411</v>
      </c>
      <c r="E36" s="1263" t="str">
        <f>Translations!$B$318</f>
        <v>Reference efficiencies</v>
      </c>
      <c r="F36" s="1347"/>
      <c r="G36" s="1347"/>
      <c r="H36" s="1347"/>
      <c r="I36" s="1347"/>
      <c r="J36" s="1347"/>
      <c r="K36" s="1347"/>
      <c r="L36" s="1347"/>
      <c r="M36" s="1347"/>
      <c r="N36" s="1347"/>
      <c r="O36" s="428"/>
    </row>
    <row r="37" spans="2:15" ht="12.75" customHeight="1" x14ac:dyDescent="0.2">
      <c r="B37" s="94"/>
      <c r="C37" s="948"/>
      <c r="D37" s="955"/>
      <c r="E37" s="1230" t="str">
        <f>Translations!$B$319</f>
        <v xml:space="preserve">These are the reference efficiency for heat production in a stand-alone boiler, and the reference efficiency of electricity production without cogeneration. </v>
      </c>
      <c r="F37" s="1343"/>
      <c r="G37" s="1343"/>
      <c r="H37" s="1343"/>
      <c r="I37" s="1343"/>
      <c r="J37" s="1343"/>
      <c r="K37" s="1343"/>
      <c r="L37" s="1343"/>
      <c r="M37" s="1343"/>
      <c r="N37" s="1343"/>
      <c r="O37" s="428"/>
    </row>
    <row r="38" spans="2:15" ht="13.15" customHeight="1" x14ac:dyDescent="0.2">
      <c r="B38" s="94"/>
      <c r="C38" s="948"/>
      <c r="D38" s="955"/>
      <c r="E38" s="1230" t="str">
        <f>Translations!$B$1974</f>
        <v>For the reference efficiencies the appropriate fuel-specific values from Annex IX of the Implementing Act should be used.</v>
      </c>
      <c r="F38" s="1343"/>
      <c r="G38" s="1343"/>
      <c r="H38" s="1343"/>
      <c r="I38" s="1343"/>
      <c r="J38" s="1343"/>
      <c r="K38" s="1343"/>
      <c r="L38" s="1343"/>
      <c r="M38" s="1343"/>
      <c r="N38" s="1343"/>
      <c r="O38" s="428"/>
    </row>
    <row r="39" spans="2:15" ht="12.75" customHeight="1" x14ac:dyDescent="0.2">
      <c r="B39" s="94"/>
      <c r="C39" s="948"/>
      <c r="D39" s="955"/>
      <c r="E39" s="1230" t="str">
        <f>Translations!$B$1975</f>
        <v>Below the default efficiencies for hard coal CHPs producing electricity and hot water are entered as an example.</v>
      </c>
      <c r="F39" s="1343"/>
      <c r="G39" s="1343"/>
      <c r="H39" s="1343"/>
      <c r="I39" s="1343"/>
      <c r="J39" s="1343"/>
      <c r="K39" s="1343"/>
      <c r="L39" s="1343"/>
      <c r="M39" s="1343"/>
      <c r="N39" s="1343"/>
      <c r="O39" s="428"/>
    </row>
    <row r="40" spans="2:15" ht="38.85" customHeight="1" x14ac:dyDescent="0.2">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25">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25">
      <c r="B42" s="94"/>
      <c r="C42" s="313"/>
      <c r="D42" s="313"/>
      <c r="E42" s="313"/>
      <c r="F42" s="313"/>
      <c r="G42" s="313"/>
      <c r="H42" s="313"/>
      <c r="I42" s="144"/>
      <c r="J42" s="144"/>
      <c r="K42" s="144"/>
      <c r="L42" s="144"/>
      <c r="M42" s="144"/>
      <c r="N42" s="144"/>
      <c r="O42" s="428"/>
    </row>
    <row r="43" spans="2:15" ht="12.75" customHeight="1" x14ac:dyDescent="0.2">
      <c r="B43" s="94"/>
      <c r="C43" s="948"/>
      <c r="D43" s="953" t="s">
        <v>412</v>
      </c>
      <c r="E43" s="1263" t="str">
        <f>Translations!$B$1976</f>
        <v>Emissions attributable to heat and electricity production from CHP</v>
      </c>
      <c r="F43" s="1347"/>
      <c r="G43" s="1347"/>
      <c r="H43" s="1347"/>
      <c r="I43" s="1347"/>
      <c r="J43" s="1347"/>
      <c r="K43" s="1347"/>
      <c r="L43" s="1347"/>
      <c r="M43" s="1347"/>
      <c r="N43" s="1347"/>
      <c r="O43" s="428"/>
    </row>
    <row r="44" spans="2:15" ht="25.9" customHeight="1" x14ac:dyDescent="0.2">
      <c r="B44" s="94"/>
      <c r="C44" s="948"/>
      <c r="D44" s="955"/>
      <c r="E44" s="1230" t="str">
        <f>Translations!$B$323</f>
        <v>This is the final result of this tool. The values displayed here should be entered in sheets D or E for the attributable emissions for the appropriate production process or precursor.</v>
      </c>
      <c r="F44" s="1343"/>
      <c r="G44" s="1343"/>
      <c r="H44" s="1343"/>
      <c r="I44" s="1343"/>
      <c r="J44" s="1343"/>
      <c r="K44" s="1343"/>
      <c r="L44" s="1343"/>
      <c r="M44" s="1343"/>
      <c r="N44" s="1343"/>
      <c r="O44" s="428"/>
    </row>
    <row r="45" spans="2:15" ht="13.15" customHeight="1" x14ac:dyDescent="0.2">
      <c r="B45" s="94"/>
      <c r="C45" s="948"/>
      <c r="D45" s="955"/>
      <c r="E45" s="1230" t="str">
        <f>Translations!$B$324</f>
        <v>For example, this may include attributable emissions to be taken into account for the total direct emissions, or use of the emission factor for any measurable heat imported.</v>
      </c>
      <c r="F45" s="1343"/>
      <c r="G45" s="1343"/>
      <c r="H45" s="1343"/>
      <c r="I45" s="1343"/>
      <c r="J45" s="1343"/>
      <c r="K45" s="1343"/>
      <c r="L45" s="1343"/>
      <c r="M45" s="1343"/>
      <c r="N45" s="1343"/>
      <c r="O45" s="428"/>
    </row>
    <row r="46" spans="2:15" ht="12.75" customHeight="1" x14ac:dyDescent="0.2">
      <c r="B46" s="94"/>
      <c r="C46" s="948"/>
      <c r="D46" s="955"/>
      <c r="E46" s="1230" t="str">
        <f>Translations!$B$1977</f>
        <v>Calculation results can only be considered correct if complete and consistent data have been reported in sections above.</v>
      </c>
      <c r="F46" s="1343"/>
      <c r="G46" s="1343"/>
      <c r="H46" s="1343"/>
      <c r="I46" s="1343"/>
      <c r="J46" s="1343"/>
      <c r="K46" s="1343"/>
      <c r="L46" s="1343"/>
      <c r="M46" s="1343"/>
      <c r="N46" s="1343"/>
      <c r="O46" s="428"/>
    </row>
    <row r="47" spans="2:15" ht="38.85" customHeight="1" x14ac:dyDescent="0.2">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25">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25">
      <c r="B50" s="94"/>
      <c r="C50" s="313"/>
      <c r="D50" s="313"/>
      <c r="E50" s="313"/>
      <c r="F50" s="313"/>
      <c r="G50" s="313"/>
      <c r="H50" s="313"/>
      <c r="I50" s="144"/>
      <c r="J50" s="144"/>
      <c r="K50" s="144"/>
      <c r="L50" s="144"/>
      <c r="M50" s="144"/>
      <c r="N50" s="144"/>
      <c r="O50" s="428"/>
    </row>
    <row r="51" spans="1:24" ht="12.75" customHeight="1" x14ac:dyDescent="0.2">
      <c r="B51" s="94"/>
      <c r="C51" s="948"/>
      <c r="D51" s="953" t="s">
        <v>413</v>
      </c>
      <c r="E51" s="1263" t="str">
        <f>Translations!$B$331</f>
        <v>Fuel input attributable to heat and electricity production</v>
      </c>
      <c r="F51" s="1347"/>
      <c r="G51" s="1347"/>
      <c r="H51" s="1347"/>
      <c r="I51" s="1347"/>
      <c r="J51" s="1347"/>
      <c r="K51" s="1347"/>
      <c r="L51" s="1347"/>
      <c r="M51" s="1347"/>
      <c r="N51" s="1347"/>
      <c r="O51" s="428"/>
    </row>
    <row r="52" spans="1:24" ht="12.75" customHeight="1" x14ac:dyDescent="0.2">
      <c r="B52" s="94"/>
      <c r="C52" s="948"/>
      <c r="D52" s="955"/>
      <c r="E52" s="1230" t="str">
        <f>Translations!$B$332</f>
        <v>This is the final result of this tool. The values displayed here should be used in section C.1.</v>
      </c>
      <c r="F52" s="1343"/>
      <c r="G52" s="1343"/>
      <c r="H52" s="1343"/>
      <c r="I52" s="1343"/>
      <c r="J52" s="1343"/>
      <c r="K52" s="1343"/>
      <c r="L52" s="1343"/>
      <c r="M52" s="1343"/>
      <c r="N52" s="1343"/>
      <c r="O52" s="428"/>
    </row>
    <row r="53" spans="1:24" ht="38.85" customHeight="1" x14ac:dyDescent="0.2">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25">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
      <c r="B55" s="94"/>
      <c r="C55" s="144"/>
      <c r="D55" s="914"/>
      <c r="E55" s="915"/>
      <c r="F55" s="915"/>
      <c r="G55" s="915"/>
      <c r="H55" s="915"/>
      <c r="I55" s="915"/>
      <c r="J55" s="915"/>
      <c r="K55" s="915"/>
      <c r="L55" s="915"/>
      <c r="M55" s="915"/>
      <c r="N55" s="144"/>
      <c r="O55" s="428"/>
      <c r="S55" s="110"/>
    </row>
    <row r="56" spans="1:24" ht="5.0999999999999996" customHeight="1" x14ac:dyDescent="0.2">
      <c r="B56" s="94"/>
      <c r="C56" s="948"/>
      <c r="D56" s="948"/>
      <c r="E56" s="948"/>
      <c r="F56" s="948"/>
      <c r="G56" s="948"/>
      <c r="H56" s="948"/>
      <c r="I56" s="948"/>
      <c r="J56" s="948"/>
      <c r="K56" s="948"/>
      <c r="L56" s="948"/>
      <c r="M56" s="949"/>
      <c r="N56" s="949"/>
      <c r="O56" s="428"/>
    </row>
    <row r="57" spans="1:24" ht="12.75" customHeight="1" x14ac:dyDescent="0.25">
      <c r="B57" s="94"/>
      <c r="C57" s="952">
        <v>2</v>
      </c>
      <c r="D57" s="1345" t="str">
        <f>Translations!$B$294</f>
        <v>Tool to calculate the emissions attributable to heat production in combined heat and power units (CHP)</v>
      </c>
      <c r="E57" s="1346"/>
      <c r="F57" s="1346"/>
      <c r="G57" s="1346"/>
      <c r="H57" s="1346"/>
      <c r="I57" s="1346"/>
      <c r="J57" s="1346"/>
      <c r="K57" s="1346"/>
      <c r="L57" s="1346"/>
      <c r="M57" s="1346"/>
      <c r="N57" s="1346"/>
      <c r="O57" s="428"/>
    </row>
    <row r="58" spans="1:24" ht="5.0999999999999996" customHeight="1" x14ac:dyDescent="0.2">
      <c r="B58" s="94"/>
      <c r="C58" s="948"/>
      <c r="D58" s="948"/>
      <c r="E58" s="948"/>
      <c r="F58" s="948"/>
      <c r="G58" s="948"/>
      <c r="H58" s="948"/>
      <c r="I58" s="948"/>
      <c r="J58" s="948"/>
      <c r="K58" s="948"/>
      <c r="L58" s="948"/>
      <c r="M58" s="949"/>
      <c r="N58" s="949"/>
      <c r="O58" s="428"/>
    </row>
    <row r="59" spans="1:24" s="244" customFormat="1" ht="38.85" customHeight="1" x14ac:dyDescent="0.2">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25">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25">
      <c r="B62" s="94"/>
      <c r="C62" s="313"/>
      <c r="D62" s="313"/>
      <c r="E62" s="313"/>
      <c r="F62" s="313"/>
      <c r="G62" s="313"/>
      <c r="H62" s="313"/>
      <c r="I62" s="144"/>
      <c r="J62" s="144"/>
      <c r="K62" s="144"/>
      <c r="L62" s="144"/>
      <c r="M62" s="144"/>
      <c r="N62" s="144"/>
      <c r="O62" s="428"/>
    </row>
    <row r="63" spans="1:24" ht="38.85" customHeight="1" x14ac:dyDescent="0.2">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25">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25">
      <c r="B65" s="94"/>
      <c r="C65" s="313"/>
      <c r="D65" s="313"/>
      <c r="E65" s="313"/>
      <c r="F65" s="313"/>
      <c r="G65" s="313"/>
      <c r="H65" s="313"/>
      <c r="I65" s="313"/>
      <c r="J65" s="313"/>
      <c r="K65" s="313"/>
      <c r="L65" s="313"/>
      <c r="M65" s="313"/>
      <c r="N65" s="313"/>
      <c r="O65" s="428"/>
    </row>
    <row r="66" spans="2:19" ht="12.75" customHeight="1" x14ac:dyDescent="0.25">
      <c r="B66" s="94"/>
      <c r="C66" s="313"/>
      <c r="D66" s="953" t="s">
        <v>49</v>
      </c>
      <c r="E66" s="1349" t="str">
        <f>Translations!$B$308</f>
        <v>Default efficiencies:</v>
      </c>
      <c r="F66" s="1349"/>
      <c r="G66" s="1349"/>
      <c r="H66" s="1349"/>
      <c r="I66" s="1349"/>
      <c r="J66" s="316" t="str">
        <f>Translations!$B$309</f>
        <v>Heat:</v>
      </c>
      <c r="K66" s="317">
        <v>0.55000000000000004</v>
      </c>
      <c r="L66" s="316" t="str">
        <f>Translations!$B$310</f>
        <v>Electricity:</v>
      </c>
      <c r="M66" s="317">
        <v>0.25</v>
      </c>
      <c r="N66" s="144"/>
      <c r="O66" s="428"/>
    </row>
    <row r="67" spans="2:19" ht="5.0999999999999996" customHeight="1" x14ac:dyDescent="0.25">
      <c r="B67" s="94"/>
      <c r="C67" s="313"/>
      <c r="D67" s="313"/>
      <c r="E67" s="313"/>
      <c r="F67" s="313"/>
      <c r="G67" s="313"/>
      <c r="H67" s="313"/>
      <c r="I67" s="144"/>
      <c r="J67" s="144"/>
      <c r="K67" s="144"/>
      <c r="L67" s="144"/>
      <c r="M67" s="144"/>
      <c r="N67" s="144"/>
      <c r="O67" s="428"/>
    </row>
    <row r="68" spans="2:19" ht="38.85" customHeight="1" x14ac:dyDescent="0.2">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25">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25">
      <c r="B70" s="94"/>
      <c r="C70" s="313"/>
      <c r="D70" s="313"/>
      <c r="E70" s="313"/>
      <c r="F70" s="313"/>
      <c r="G70" s="313"/>
      <c r="H70" s="313"/>
      <c r="I70" s="144"/>
      <c r="J70" s="144"/>
      <c r="K70" s="144"/>
      <c r="L70" s="144"/>
      <c r="M70" s="144"/>
      <c r="N70" s="144"/>
      <c r="O70" s="428"/>
    </row>
    <row r="71" spans="2:19" ht="38.85" customHeight="1" x14ac:dyDescent="0.2">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25">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25">
      <c r="B73" s="94"/>
      <c r="C73" s="313"/>
      <c r="D73" s="313"/>
      <c r="E73" s="313"/>
      <c r="F73" s="313"/>
      <c r="G73" s="313"/>
      <c r="H73" s="313"/>
      <c r="I73" s="144"/>
      <c r="J73" s="144"/>
      <c r="K73" s="144"/>
      <c r="L73" s="144"/>
      <c r="M73" s="144"/>
      <c r="N73" s="144"/>
      <c r="O73" s="428"/>
    </row>
    <row r="74" spans="2:19" ht="38.85" customHeight="1" x14ac:dyDescent="0.2">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25">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25">
      <c r="B77" s="94"/>
      <c r="C77" s="313"/>
      <c r="D77" s="313"/>
      <c r="E77" s="313"/>
      <c r="F77" s="313"/>
      <c r="G77" s="313"/>
      <c r="H77" s="313"/>
      <c r="I77" s="144"/>
      <c r="J77" s="144"/>
      <c r="K77" s="144"/>
      <c r="L77" s="144"/>
      <c r="M77" s="144"/>
      <c r="N77" s="144"/>
      <c r="O77" s="428"/>
    </row>
    <row r="78" spans="2:19" ht="38.85" customHeight="1" x14ac:dyDescent="0.2">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25">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
      <c r="B80" s="94"/>
      <c r="C80" s="144"/>
      <c r="D80" s="914"/>
      <c r="E80" s="915"/>
      <c r="F80" s="915"/>
      <c r="G80" s="915"/>
      <c r="H80" s="915"/>
      <c r="I80" s="915"/>
      <c r="J80" s="915"/>
      <c r="K80" s="915"/>
      <c r="L80" s="915"/>
      <c r="M80" s="915"/>
      <c r="N80" s="144"/>
      <c r="O80" s="428"/>
      <c r="S80" s="110"/>
    </row>
    <row r="81" spans="1:19" ht="18" customHeight="1" x14ac:dyDescent="0.25">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
      <c r="B82" s="94"/>
      <c r="C82" s="948"/>
      <c r="D82" s="948"/>
      <c r="E82" s="948"/>
      <c r="F82" s="948"/>
      <c r="G82" s="948"/>
      <c r="H82" s="948"/>
      <c r="I82" s="948"/>
      <c r="J82" s="948"/>
      <c r="K82" s="948"/>
      <c r="L82" s="948"/>
      <c r="M82" s="949"/>
      <c r="N82" s="949"/>
      <c r="O82" s="428"/>
    </row>
    <row r="83" spans="1:19" ht="5.0999999999999996" customHeight="1" x14ac:dyDescent="0.2">
      <c r="B83" s="94"/>
      <c r="C83" s="948"/>
      <c r="D83" s="950"/>
      <c r="E83" s="1355"/>
      <c r="F83" s="1356"/>
      <c r="G83" s="1356"/>
      <c r="H83" s="1356"/>
      <c r="I83" s="1356"/>
      <c r="J83" s="1356"/>
      <c r="K83" s="1356"/>
      <c r="L83" s="1356"/>
      <c r="M83" s="1356"/>
      <c r="N83" s="1356"/>
      <c r="O83" s="428"/>
    </row>
    <row r="84" spans="1:19" ht="25.5" customHeight="1" x14ac:dyDescent="0.2">
      <c r="B84" s="94"/>
      <c r="C84" s="948"/>
      <c r="D84" s="950"/>
      <c r="E84" s="1344"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4"/>
      <c r="G84" s="1344"/>
      <c r="H84" s="1344"/>
      <c r="I84" s="1344"/>
      <c r="J84" s="1344"/>
      <c r="K84" s="1344"/>
      <c r="L84" s="1344"/>
      <c r="M84" s="1344"/>
      <c r="N84" s="1344"/>
      <c r="O84" s="428"/>
    </row>
    <row r="85" spans="1:19" ht="25.9" customHeight="1" x14ac:dyDescent="0.2">
      <c r="B85" s="94"/>
      <c r="C85" s="948"/>
      <c r="D85" s="950"/>
      <c r="E85" s="1350" t="str">
        <f>Translations!$B$1978</f>
        <v>The results obtained here in columns L and M have to be manually entered into the respective fields in sheet "Summary_Products", columns AR and AX, respectively.</v>
      </c>
      <c r="F85" s="1350"/>
      <c r="G85" s="1350"/>
      <c r="H85" s="1350"/>
      <c r="I85" s="1350"/>
      <c r="J85" s="1350"/>
      <c r="K85" s="1350"/>
      <c r="L85" s="1350"/>
      <c r="M85" s="1350"/>
      <c r="N85" s="1350"/>
      <c r="O85" s="428"/>
    </row>
    <row r="86" spans="1:19" ht="12.75" customHeight="1" x14ac:dyDescent="0.2">
      <c r="B86" s="94"/>
      <c r="C86" s="948"/>
      <c r="D86" s="950"/>
      <c r="E86" s="1354" t="str">
        <f>Translations!$B$340</f>
        <v>The following conditions apply:</v>
      </c>
      <c r="F86" s="1160"/>
      <c r="G86" s="1160"/>
      <c r="H86" s="1160"/>
      <c r="I86" s="1160"/>
      <c r="J86" s="1160"/>
      <c r="K86" s="1160"/>
      <c r="L86" s="1160"/>
      <c r="M86" s="1160"/>
      <c r="N86" s="1160"/>
      <c r="O86" s="428"/>
    </row>
    <row r="87" spans="1:19" ht="12.75" customHeight="1" x14ac:dyDescent="0.2">
      <c r="B87" s="94"/>
      <c r="C87" s="948"/>
      <c r="D87" s="950"/>
      <c r="E87" s="960"/>
      <c r="F87" s="1351" t="str">
        <f>Translations!$B$341</f>
        <v>- the carbon price used for each production process has to be converted into one common currency.</v>
      </c>
      <c r="G87" s="1351"/>
      <c r="H87" s="1351"/>
      <c r="I87" s="1351"/>
      <c r="J87" s="1351"/>
      <c r="K87" s="1351"/>
      <c r="L87" s="1351"/>
      <c r="M87" s="1351"/>
      <c r="N87" s="1351"/>
      <c r="O87" s="428"/>
    </row>
    <row r="88" spans="1:19" ht="12.75" customHeight="1" x14ac:dyDescent="0.2">
      <c r="B88" s="94"/>
      <c r="C88" s="948"/>
      <c r="D88" s="950"/>
      <c r="E88" s="960"/>
      <c r="F88" s="1351" t="str">
        <f>Translations!$B$342</f>
        <v>- the system boundaries of carbon pricing have to be consistent with the boundaries of the production process and precursors.</v>
      </c>
      <c r="G88" s="1343"/>
      <c r="H88" s="1343"/>
      <c r="I88" s="1343"/>
      <c r="J88" s="1343"/>
      <c r="K88" s="1343"/>
      <c r="L88" s="1343"/>
      <c r="M88" s="1343"/>
      <c r="N88" s="1343"/>
      <c r="O88" s="428"/>
    </row>
    <row r="89" spans="1:19" ht="13.15" customHeight="1" x14ac:dyDescent="0.2">
      <c r="B89" s="94"/>
      <c r="C89" s="948"/>
      <c r="D89" s="950"/>
      <c r="E89" s="1344" t="str">
        <f>Translations!$B$343</f>
        <v>If the conditions above are not satisfied, this tool can only be used to support you with the calculation of the carbon price, but results cannot be used directly.</v>
      </c>
      <c r="F89" s="1344"/>
      <c r="G89" s="1344"/>
      <c r="H89" s="1344"/>
      <c r="I89" s="1344"/>
      <c r="J89" s="1344"/>
      <c r="K89" s="1344"/>
      <c r="L89" s="1344"/>
      <c r="M89" s="1344"/>
      <c r="N89" s="1344"/>
      <c r="O89" s="428"/>
    </row>
    <row r="90" spans="1:19" ht="5.0999999999999996" customHeight="1" x14ac:dyDescent="0.2">
      <c r="B90" s="94"/>
      <c r="C90" s="948"/>
      <c r="D90" s="950"/>
      <c r="E90" s="961"/>
      <c r="F90" s="962"/>
      <c r="G90" s="962"/>
      <c r="H90" s="962"/>
      <c r="I90" s="962"/>
      <c r="J90" s="962"/>
      <c r="K90" s="962"/>
      <c r="L90" s="962"/>
      <c r="M90" s="962"/>
      <c r="N90" s="962"/>
      <c r="O90" s="428"/>
    </row>
    <row r="91" spans="1:19" ht="12.75" customHeight="1" x14ac:dyDescent="0.2">
      <c r="B91" s="94"/>
      <c r="C91" s="144"/>
      <c r="D91" s="914"/>
      <c r="E91" s="915"/>
      <c r="F91" s="915"/>
      <c r="G91" s="915"/>
      <c r="H91" s="915"/>
      <c r="I91" s="915"/>
      <c r="J91" s="915"/>
      <c r="K91" s="915"/>
      <c r="L91" s="915"/>
      <c r="M91" s="915"/>
      <c r="N91" s="144"/>
      <c r="O91" s="428"/>
      <c r="S91" s="110"/>
    </row>
    <row r="92" spans="1:19" ht="25.5" customHeight="1" x14ac:dyDescent="0.2">
      <c r="B92" s="94"/>
      <c r="C92" s="144"/>
      <c r="D92" s="144"/>
      <c r="E92" s="815" t="str">
        <f>Translations!$B$1861</f>
        <v>SE (total)</v>
      </c>
      <c r="F92" s="1359" t="str">
        <f>Translations!$B$1862</f>
        <v>Specific direct + indirect emissions of the production process, i.e. excluding any embedded emissions from any precursors consumed in the process.</v>
      </c>
      <c r="G92" s="1359"/>
      <c r="H92" s="1359"/>
      <c r="I92" s="1359"/>
      <c r="J92" s="1359"/>
      <c r="K92" s="1359"/>
      <c r="L92" s="1359"/>
      <c r="M92" s="1360"/>
      <c r="N92" s="1360"/>
      <c r="O92" s="428"/>
      <c r="S92" s="110"/>
    </row>
    <row r="93" spans="1:19" ht="38.25" customHeight="1" x14ac:dyDescent="0.2">
      <c r="B93" s="94"/>
      <c r="C93" s="144"/>
      <c r="D93" s="144"/>
      <c r="E93" s="816" t="str">
        <f>Translations!$B$346</f>
        <v>Share of emissions covered by the carbon price</v>
      </c>
      <c r="F93" s="1361"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62"/>
      <c r="H93" s="1362"/>
      <c r="I93" s="1362"/>
      <c r="J93" s="1362"/>
      <c r="K93" s="1362"/>
      <c r="L93" s="1362"/>
      <c r="M93" s="1362"/>
      <c r="N93" s="1362"/>
      <c r="O93" s="428"/>
      <c r="S93" s="110"/>
    </row>
    <row r="94" spans="1:19" ht="38.25" customHeight="1" x14ac:dyDescent="0.2">
      <c r="B94" s="94"/>
      <c r="C94" s="144"/>
      <c r="D94" s="144"/>
      <c r="E94" s="816" t="str">
        <f>Translations!$B$350</f>
        <v>Carbon price (CP) due (local currency)</v>
      </c>
      <c r="F94" s="1361"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62"/>
      <c r="H94" s="1362"/>
      <c r="I94" s="1362"/>
      <c r="J94" s="1362"/>
      <c r="K94" s="1362"/>
      <c r="L94" s="1362"/>
      <c r="M94" s="1362"/>
      <c r="N94" s="1362"/>
      <c r="O94" s="428"/>
      <c r="S94" s="110"/>
    </row>
    <row r="95" spans="1:19" ht="25.5" customHeight="1" x14ac:dyDescent="0.2">
      <c r="B95" s="94"/>
      <c r="C95" s="144"/>
      <c r="D95" s="144"/>
      <c r="E95" s="817" t="str">
        <f>Translations!$B$348</f>
        <v>Amount of rebate (local currency)</v>
      </c>
      <c r="F95" s="1363" t="str">
        <f>Translations!$B$1981</f>
        <v>Please enter here the rebate per tonne of CO2e covered by the rebate in the relevant currency. Again, it shall exclude any rebate for any precursors outside the production process to avoid double counting.</v>
      </c>
      <c r="G95" s="1364"/>
      <c r="H95" s="1364"/>
      <c r="I95" s="1364"/>
      <c r="J95" s="1364"/>
      <c r="K95" s="1364"/>
      <c r="L95" s="1364"/>
      <c r="M95" s="1364"/>
      <c r="N95" s="1364"/>
      <c r="O95" s="428"/>
      <c r="S95" s="110"/>
    </row>
    <row r="96" spans="1:19" ht="5.0999999999999996" customHeight="1" x14ac:dyDescent="0.2">
      <c r="B96" s="94"/>
      <c r="C96" s="144"/>
      <c r="D96" s="144"/>
      <c r="E96" s="144"/>
      <c r="F96" s="144"/>
      <c r="G96" s="144"/>
      <c r="H96" s="144"/>
      <c r="I96" s="144"/>
      <c r="J96" s="144"/>
      <c r="K96" s="144"/>
      <c r="L96" s="144"/>
      <c r="M96" s="144"/>
      <c r="N96" s="954"/>
      <c r="O96" s="428"/>
      <c r="S96" s="110"/>
    </row>
    <row r="97" spans="2:23" ht="12.75" customHeight="1" x14ac:dyDescent="0.2">
      <c r="B97" s="94"/>
      <c r="C97" s="144"/>
      <c r="D97" s="144"/>
      <c r="E97" s="144"/>
      <c r="F97" s="144"/>
      <c r="G97" s="144"/>
      <c r="H97" s="144"/>
      <c r="I97" s="166" t="str">
        <f>Translations!$B$1866</f>
        <v>Currency:</v>
      </c>
      <c r="J97" s="685"/>
      <c r="K97" s="1371" t="str">
        <f>IF(J97="","",INDEX(CNTR_ListCurrenciesName,MATCH(J97,CNTR_ListCurrenciesCode,0)))</f>
        <v/>
      </c>
      <c r="L97" s="1372"/>
      <c r="M97" s="144"/>
      <c r="N97" s="954"/>
      <c r="O97" s="428"/>
      <c r="S97" s="110"/>
    </row>
    <row r="98" spans="2:23" ht="5.0999999999999996" customHeight="1" x14ac:dyDescent="0.2">
      <c r="B98" s="94"/>
      <c r="C98" s="144"/>
      <c r="D98" s="144"/>
      <c r="E98" s="144"/>
      <c r="F98" s="144"/>
      <c r="G98" s="144"/>
      <c r="H98" s="144"/>
      <c r="I98" s="144"/>
      <c r="J98" s="144"/>
      <c r="K98" s="144"/>
      <c r="L98" s="144"/>
      <c r="M98" s="144"/>
      <c r="N98" s="954"/>
      <c r="O98" s="428"/>
      <c r="S98" s="110"/>
    </row>
    <row r="99" spans="2:23" ht="50.1" customHeight="1" x14ac:dyDescent="0.2">
      <c r="B99" s="94"/>
      <c r="C99" s="144"/>
      <c r="D99" s="963"/>
      <c r="E99" s="1352" t="str">
        <f>Translations!$B$120</f>
        <v>Production process</v>
      </c>
      <c r="F99" s="1357" t="str">
        <f>Translations!$B$107</f>
        <v>Aggregated goods category</v>
      </c>
      <c r="G99" s="845" t="str">
        <f>Translations!$B$1861</f>
        <v>SE (total)</v>
      </c>
      <c r="H99" s="1365"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5" t="str">
        <f>Translations!$B$351</f>
        <v>CP due (per produced t or MWh)</v>
      </c>
      <c r="M99" s="1365" t="str">
        <f>Translations!$B$352</f>
        <v>Rebate (per produced t or MWh)</v>
      </c>
      <c r="N99" s="1368" t="str">
        <f>Translations!$B$353</f>
        <v>Result: Effective CP due (per produced t or MWh)</v>
      </c>
      <c r="O99" s="428"/>
      <c r="S99" s="110"/>
    </row>
    <row r="100" spans="2:23" ht="12.75" customHeight="1" thickBot="1" x14ac:dyDescent="0.25">
      <c r="B100" s="94"/>
      <c r="C100" s="144"/>
      <c r="D100" s="402"/>
      <c r="E100" s="1353"/>
      <c r="F100" s="1358"/>
      <c r="G100" s="403" t="str">
        <f>CONST_tCO2eq &amp; "/" &amp; IF(F101="",CONST_t,INDEX(CONST_LIST_GoodsUnit,MATCH(F101,CONST_LIST_Goods,0)))</f>
        <v>tCO2e/t</v>
      </c>
      <c r="H100" s="1370"/>
      <c r="I100" s="403" t="str">
        <f>G100</f>
        <v>tCO2e/t</v>
      </c>
      <c r="J100" s="403" t="str">
        <f>IF(J97="","",J97)&amp;"/" &amp; CONST_tCO2eq</f>
        <v>/tCO2e</v>
      </c>
      <c r="K100" s="403" t="str">
        <f>J100</f>
        <v>/tCO2e</v>
      </c>
      <c r="L100" s="1366"/>
      <c r="M100" s="1367"/>
      <c r="N100" s="1369"/>
      <c r="O100" s="428"/>
      <c r="S100" s="110"/>
      <c r="T100" s="123" t="s">
        <v>602</v>
      </c>
      <c r="U100" s="123" t="s">
        <v>647</v>
      </c>
      <c r="V100" s="366" t="s">
        <v>648</v>
      </c>
      <c r="W100" s="366" t="s">
        <v>649</v>
      </c>
    </row>
    <row r="101" spans="2:23" ht="12.75" customHeight="1" x14ac:dyDescent="0.2">
      <c r="B101" s="94"/>
      <c r="C101" s="144"/>
      <c r="D101" s="404" t="str">
        <f>INDEX(CNTR_ListProdProcID,ROWS(D$101:D101))</f>
        <v>P1</v>
      </c>
      <c r="E101" s="405" t="str">
        <f>IF(INDEX(CNTR_List_ExistProdProcNames,ROWS(D$101:D101))=CONST_NA,"",INDEX(CNTR_List_ExistProdProcNames,ROWS(D$101:D101)))</f>
        <v/>
      </c>
      <c r="F101" s="520" t="str">
        <f t="shared" ref="F101:F110" si="0">IF(E101="","",INDEX(CNTR_List_ExistProdProc,MATCH(E101,CNTR_List_ExistProdProcNames,0)))</f>
        <v/>
      </c>
      <c r="G101" s="245" t="str">
        <f>IF($E101="","",SUM(InputOutput!AJ71,InputOutput!AL71))</f>
        <v/>
      </c>
      <c r="H101" s="511"/>
      <c r="I101" s="245" t="str">
        <f>IF(G101="","",G101*H101)</f>
        <v/>
      </c>
      <c r="J101" s="494"/>
      <c r="K101" s="495"/>
      <c r="L101" s="496" t="str">
        <f>IF($F101="","",IFERROR(V101,0))</f>
        <v/>
      </c>
      <c r="M101" s="497" t="str">
        <f>IF($F101="","",IFERROR(W101,0))</f>
        <v/>
      </c>
      <c r="N101" s="498" t="str">
        <f>IF($F101="","",L101-M101)</f>
        <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25">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
      <c r="B131" s="934"/>
      <c r="C131" s="747"/>
      <c r="D131" s="747"/>
      <c r="E131" s="747"/>
      <c r="F131" s="747"/>
      <c r="G131" s="747"/>
      <c r="H131" s="747"/>
      <c r="I131" s="747"/>
      <c r="J131" s="747"/>
      <c r="K131" s="747"/>
      <c r="L131" s="747"/>
      <c r="M131" s="747"/>
      <c r="N131" s="747"/>
      <c r="O131" s="748"/>
    </row>
    <row r="132" spans="1:23" s="91" customFormat="1" ht="12.75" hidden="1" customHeight="1" x14ac:dyDescent="0.25">
      <c r="A132" s="91" t="s">
        <v>3</v>
      </c>
      <c r="P132" s="92" t="s">
        <v>116</v>
      </c>
    </row>
    <row r="133" spans="1:23" s="91" customFormat="1" ht="12.75" hidden="1" customHeight="1" x14ac:dyDescent="0.25">
      <c r="A133" s="91" t="s">
        <v>3</v>
      </c>
      <c r="P133" s="92"/>
    </row>
    <row r="134" spans="1:23" s="91" customFormat="1" ht="12.75" hidden="1" customHeight="1" x14ac:dyDescent="0.25">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Translations!$B$354</f>
        <v>Further Guidance</v>
      </c>
      <c r="C2" s="1167"/>
      <c r="D2" s="1168"/>
      <c r="E2" s="1175" t="str">
        <f>Translations!$B$11</f>
        <v>Navigation Area:</v>
      </c>
      <c r="F2" s="1176"/>
      <c r="G2" s="1163" t="str">
        <f ca="1">HYPERLINK("#"&amp;ADDRESS(2,3,,,a_Contents!$U$2),a_Contents!$B$2)</f>
        <v>Table of contents</v>
      </c>
      <c r="H2" s="1164"/>
      <c r="I2" s="1163"/>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25">
      <c r="B3" s="1169"/>
      <c r="C3" s="1170"/>
      <c r="D3" s="1171"/>
      <c r="E3" s="1165"/>
      <c r="F3" s="1165"/>
      <c r="G3" s="1165" t="str">
        <f>IFERROR(HYPERLINK("#"&amp;ADDRESS(ROW($A$1)+MATCH(R3,$A:$A,0)-1,3),INDEX($R:$R,MATCH(R3,$A:$A,0))),"")</f>
        <v>General guidance</v>
      </c>
      <c r="H3" s="1165"/>
      <c r="I3" s="1165" t="str">
        <f>IFERROR(HYPERLINK("#"&amp;ADDRESS(ROW($A$1)+MATCH(T3,$A:$A,0)-1,3),INDEX($R:$R,MATCH(T3,$A:$A,0))),"")</f>
        <v>Source streams and emission sources</v>
      </c>
      <c r="J3" s="1165"/>
      <c r="K3" s="1165" t="str">
        <f>IFERROR(HYPERLINK("#"&amp;ADDRESS(ROW($A$1)+MATCH(V3,$A:$A,0)-1,3),INDEX($R:$R,MATCH(V3,$A:$A,0))),"")</f>
        <v>Attribution of emissions to production processes</v>
      </c>
      <c r="L3" s="1165"/>
      <c r="M3" s="1165" t="str">
        <f>IFERROR(HYPERLINK("#"&amp;ADDRESS(ROW($A$1)+MATCH(X3,$A:$A,0)-1,3),INDEX($R:$R,MATCH(X3,$A:$A,0))),"")</f>
        <v>Data input for the determination of the specific embedded emissions</v>
      </c>
      <c r="N3" s="1165"/>
      <c r="O3" s="428"/>
      <c r="R3" s="302">
        <v>1</v>
      </c>
      <c r="S3" s="303"/>
      <c r="T3" s="303">
        <v>2</v>
      </c>
      <c r="U3" s="303"/>
      <c r="V3" s="303">
        <v>3</v>
      </c>
      <c r="W3" s="303"/>
      <c r="X3" s="304">
        <v>4</v>
      </c>
    </row>
    <row r="4" spans="1:24" ht="14.1" customHeight="1" thickBot="1" x14ac:dyDescent="0.3">
      <c r="B4" s="1169"/>
      <c r="C4" s="1170"/>
      <c r="D4" s="1171"/>
      <c r="E4" s="1405"/>
      <c r="F4" s="1405"/>
      <c r="G4" s="1405" t="str">
        <f>IFERROR(HYPERLINK("#"&amp;ADDRESS(ROW($A$1)+MATCH(R4,$A:$A,0)-1,3),INDEX($R:$R,MATCH(R4,$A:$A,0))),"")</f>
        <v>Summary of products</v>
      </c>
      <c r="H4" s="1405"/>
      <c r="I4" s="1405"/>
      <c r="J4" s="1405"/>
      <c r="K4" s="1405"/>
      <c r="L4" s="1405"/>
      <c r="M4" s="1405"/>
      <c r="N4" s="1405"/>
      <c r="O4" s="428"/>
      <c r="R4" s="307">
        <v>5</v>
      </c>
      <c r="S4" s="308"/>
      <c r="T4" s="308"/>
      <c r="U4" s="308"/>
      <c r="V4" s="308"/>
      <c r="W4" s="308"/>
      <c r="X4" s="309"/>
    </row>
    <row r="5" spans="1:24" ht="5.0999999999999996" customHeight="1" x14ac:dyDescent="0.25">
      <c r="A5" s="905"/>
      <c r="B5" s="920"/>
      <c r="C5" s="921"/>
      <c r="D5" s="921"/>
      <c r="E5" s="921"/>
      <c r="F5" s="921"/>
      <c r="G5" s="921"/>
      <c r="H5" s="921"/>
      <c r="I5" s="921"/>
      <c r="J5" s="921"/>
      <c r="K5" s="921"/>
      <c r="L5" s="921"/>
      <c r="M5" s="921"/>
      <c r="N5" s="921"/>
      <c r="O5" s="906"/>
      <c r="W5" s="104"/>
    </row>
    <row r="6" spans="1:24" ht="25.5" customHeight="1" x14ac:dyDescent="0.25">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5">
      <c r="A7" s="92"/>
      <c r="B7" s="94"/>
      <c r="C7" s="144"/>
      <c r="D7" s="144"/>
      <c r="E7" s="144"/>
      <c r="F7" s="144"/>
      <c r="G7" s="144"/>
      <c r="H7" s="144"/>
      <c r="I7" s="144"/>
      <c r="J7" s="144"/>
      <c r="K7" s="144"/>
      <c r="L7" s="144"/>
      <c r="M7" s="144"/>
      <c r="N7" s="144"/>
      <c r="O7" s="428"/>
      <c r="W7" s="104"/>
    </row>
    <row r="8" spans="1:24" ht="18" customHeight="1" x14ac:dyDescent="0.25">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25">
      <c r="A9" s="92"/>
      <c r="B9" s="94"/>
      <c r="C9" s="144"/>
      <c r="D9" s="10"/>
      <c r="E9" s="10"/>
      <c r="F9" s="10"/>
      <c r="G9" s="10"/>
      <c r="H9" s="10"/>
      <c r="I9" s="10"/>
      <c r="J9" s="10"/>
      <c r="K9" s="10"/>
      <c r="L9" s="10"/>
      <c r="M9" s="10"/>
      <c r="N9" s="10"/>
      <c r="O9" s="428"/>
    </row>
    <row r="10" spans="1:24" ht="5.0999999999999996" customHeight="1" x14ac:dyDescent="0.2">
      <c r="A10" s="92"/>
      <c r="B10" s="94"/>
      <c r="C10" s="948"/>
      <c r="D10" s="950"/>
      <c r="E10" s="1355"/>
      <c r="F10" s="1356"/>
      <c r="G10" s="1356"/>
      <c r="H10" s="1356"/>
      <c r="I10" s="1356"/>
      <c r="J10" s="1356"/>
      <c r="K10" s="1356"/>
      <c r="L10" s="1356"/>
      <c r="M10" s="1356"/>
      <c r="N10" s="1356"/>
      <c r="O10" s="428"/>
    </row>
    <row r="11" spans="1:24" ht="38.25" customHeight="1" x14ac:dyDescent="0.2">
      <c r="A11" s="92"/>
      <c r="B11" s="94"/>
      <c r="C11" s="948"/>
      <c r="D11" s="950"/>
      <c r="E11" s="1397"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7"/>
      <c r="G11" s="1397"/>
      <c r="H11" s="1397"/>
      <c r="I11" s="1397"/>
      <c r="J11" s="1397"/>
      <c r="K11" s="1397"/>
      <c r="L11" s="1397"/>
      <c r="M11" s="1397"/>
      <c r="N11" s="1397"/>
      <c r="O11" s="428"/>
    </row>
    <row r="12" spans="1:24" ht="25.5" customHeight="1" x14ac:dyDescent="0.2">
      <c r="A12" s="92"/>
      <c r="B12" s="94"/>
      <c r="C12" s="948"/>
      <c r="D12" s="951"/>
      <c r="E12" s="1397"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7"/>
      <c r="G12" s="1397"/>
      <c r="H12" s="1397"/>
      <c r="I12" s="1397"/>
      <c r="J12" s="1397"/>
      <c r="K12" s="1397"/>
      <c r="L12" s="1397"/>
      <c r="M12" s="1397"/>
      <c r="N12" s="1397"/>
      <c r="O12" s="428"/>
    </row>
    <row r="13" spans="1:24" ht="12.75" customHeight="1" x14ac:dyDescent="0.2">
      <c r="A13" s="92"/>
      <c r="B13" s="94"/>
      <c r="C13" s="948"/>
      <c r="D13" s="951"/>
      <c r="E13" s="1390" t="str">
        <f>Translations!$B$359</f>
        <v>You can also find further guidance, including examples, in the guidance document published on the European Commission's website, which can be found here:</v>
      </c>
      <c r="F13" s="1390"/>
      <c r="G13" s="1390"/>
      <c r="H13" s="1390"/>
      <c r="I13" s="1390"/>
      <c r="J13" s="1390"/>
      <c r="K13" s="1390"/>
      <c r="L13" s="1390"/>
      <c r="M13" s="1390"/>
      <c r="N13" s="1390"/>
      <c r="O13" s="428"/>
    </row>
    <row r="14" spans="1:24" ht="12.75" customHeight="1" x14ac:dyDescent="0.2">
      <c r="A14" s="92"/>
      <c r="B14" s="94"/>
      <c r="C14" s="948"/>
      <c r="D14" s="951"/>
      <c r="E14" s="1401" t="str">
        <f>HYPERLINK(Translations!$B$61,Translations!$B$61)</f>
        <v>https://taxation-customs.ec.europa.eu/carbon-border-adjustment-mechanism_en</v>
      </c>
      <c r="F14" s="1402"/>
      <c r="G14" s="1402"/>
      <c r="H14" s="1402"/>
      <c r="I14" s="1402"/>
      <c r="J14" s="1402"/>
      <c r="K14" s="1402"/>
      <c r="L14" s="1402"/>
      <c r="M14" s="1402"/>
      <c r="N14" s="1402"/>
      <c r="O14" s="428"/>
    </row>
    <row r="15" spans="1:24" ht="5.0999999999999996" customHeight="1" x14ac:dyDescent="0.2">
      <c r="A15" s="92"/>
      <c r="B15" s="94"/>
      <c r="C15" s="948"/>
      <c r="D15" s="951"/>
      <c r="E15" s="1355"/>
      <c r="F15" s="1356"/>
      <c r="G15" s="1356"/>
      <c r="H15" s="1356"/>
      <c r="I15" s="1356"/>
      <c r="J15" s="1356"/>
      <c r="K15" s="1356"/>
      <c r="L15" s="1356"/>
      <c r="M15" s="1356"/>
      <c r="N15" s="1356"/>
      <c r="O15" s="428"/>
    </row>
    <row r="16" spans="1:24" ht="12.75" customHeight="1" x14ac:dyDescent="0.25">
      <c r="A16" s="92"/>
      <c r="B16" s="94"/>
      <c r="C16" s="144"/>
      <c r="D16" s="144"/>
      <c r="E16" s="144"/>
      <c r="F16" s="144"/>
      <c r="G16" s="144"/>
      <c r="H16" s="144"/>
      <c r="I16" s="144"/>
      <c r="J16" s="144"/>
      <c r="K16" s="144"/>
      <c r="L16" s="144"/>
      <c r="M16" s="144"/>
      <c r="N16" s="144"/>
      <c r="O16" s="428"/>
      <c r="W16" s="104"/>
    </row>
    <row r="17" spans="1:23" ht="18" customHeight="1" x14ac:dyDescent="0.25">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25">
      <c r="A18" s="92"/>
      <c r="B18" s="94"/>
      <c r="C18" s="144"/>
      <c r="D18" s="10"/>
      <c r="E18" s="10"/>
      <c r="F18" s="10"/>
      <c r="G18" s="10"/>
      <c r="H18" s="10"/>
      <c r="I18" s="10"/>
      <c r="J18" s="10"/>
      <c r="K18" s="10"/>
      <c r="L18" s="10"/>
      <c r="M18" s="10"/>
      <c r="N18" s="10"/>
      <c r="O18" s="428"/>
    </row>
    <row r="19" spans="1:23" ht="5.0999999999999996" customHeight="1" x14ac:dyDescent="0.2">
      <c r="A19" s="92"/>
      <c r="B19" s="94"/>
      <c r="C19" s="948"/>
      <c r="D19" s="950"/>
      <c r="E19" s="1355"/>
      <c r="F19" s="1356"/>
      <c r="G19" s="1356"/>
      <c r="H19" s="1356"/>
      <c r="I19" s="1356"/>
      <c r="J19" s="1356"/>
      <c r="K19" s="1356"/>
      <c r="L19" s="1356"/>
      <c r="M19" s="1356"/>
      <c r="N19" s="1356"/>
      <c r="O19" s="428"/>
    </row>
    <row r="20" spans="1:23" ht="12.75" customHeight="1" x14ac:dyDescent="0.2">
      <c r="A20" s="92"/>
      <c r="B20" s="94"/>
      <c r="C20" s="948"/>
      <c r="D20" s="950"/>
      <c r="E20" s="1390" t="str">
        <f>Translations!$B$360</f>
        <v>In sheet "B_EmInst" the energy content and the greenhouse gas (GHG) emissions are calculated for each source stream and emission source.</v>
      </c>
      <c r="F20" s="1390"/>
      <c r="G20" s="1390"/>
      <c r="H20" s="1390"/>
      <c r="I20" s="1390"/>
      <c r="J20" s="1390"/>
      <c r="K20" s="1390"/>
      <c r="L20" s="1390"/>
      <c r="M20" s="1390"/>
      <c r="N20" s="1390"/>
      <c r="O20" s="428"/>
    </row>
    <row r="21" spans="1:23" ht="25.9" customHeight="1" x14ac:dyDescent="0.2">
      <c r="A21" s="92"/>
      <c r="B21" s="94"/>
      <c r="C21" s="948"/>
      <c r="D21" s="951"/>
      <c r="E21" s="1390" t="str">
        <f>Translations!$B$361</f>
        <v>At the top of each block in that sheet you can find examples on how to complete data inputs in order to calculate the corresponding emissions for each source stream and emission source.</v>
      </c>
      <c r="F21" s="1390"/>
      <c r="G21" s="1390"/>
      <c r="H21" s="1390"/>
      <c r="I21" s="1390"/>
      <c r="J21" s="1390"/>
      <c r="K21" s="1390"/>
      <c r="L21" s="1390"/>
      <c r="M21" s="1390"/>
      <c r="N21" s="1390"/>
      <c r="O21" s="428"/>
    </row>
    <row r="22" spans="1:23" ht="25.9" customHeight="1" x14ac:dyDescent="0.2">
      <c r="A22" s="92"/>
      <c r="B22" s="94"/>
      <c r="C22" s="948"/>
      <c r="D22" s="951"/>
      <c r="E22" s="1390"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90"/>
      <c r="G22" s="1390"/>
      <c r="H22" s="1390"/>
      <c r="I22" s="1390"/>
      <c r="J22" s="1390"/>
      <c r="K22" s="1390"/>
      <c r="L22" s="1390"/>
      <c r="M22" s="1390"/>
      <c r="N22" s="1390"/>
      <c r="O22" s="428"/>
    </row>
    <row r="23" spans="1:23" ht="13.15" customHeight="1" x14ac:dyDescent="0.2">
      <c r="A23" s="92"/>
      <c r="B23" s="94"/>
      <c r="C23" s="948"/>
      <c r="D23" s="951"/>
      <c r="E23" s="1390" t="str">
        <f>Translations!$B$362</f>
        <v>Guidance on each parameter below aims to help you with filling all input fields in sheet "B_EmInst".</v>
      </c>
      <c r="F23" s="1390"/>
      <c r="G23" s="1390"/>
      <c r="H23" s="1390"/>
      <c r="I23" s="1390"/>
      <c r="J23" s="1390"/>
      <c r="K23" s="1390"/>
      <c r="L23" s="1390"/>
      <c r="M23" s="1390"/>
      <c r="N23" s="1390"/>
      <c r="O23" s="428"/>
    </row>
    <row r="24" spans="1:23" ht="5.0999999999999996" customHeight="1" x14ac:dyDescent="0.2">
      <c r="A24" s="92"/>
      <c r="B24" s="94"/>
      <c r="C24" s="948"/>
      <c r="D24" s="951"/>
      <c r="E24" s="1355"/>
      <c r="F24" s="1356"/>
      <c r="G24" s="1356"/>
      <c r="H24" s="1356"/>
      <c r="I24" s="1356"/>
      <c r="J24" s="1356"/>
      <c r="K24" s="1356"/>
      <c r="L24" s="1356"/>
      <c r="M24" s="1356"/>
      <c r="N24" s="1356"/>
      <c r="O24" s="428"/>
    </row>
    <row r="25" spans="1:23" ht="5.0999999999999996" customHeight="1" x14ac:dyDescent="0.2">
      <c r="A25" s="92"/>
      <c r="B25" s="94"/>
      <c r="C25" s="144"/>
      <c r="D25" s="914"/>
      <c r="E25" s="915"/>
      <c r="F25" s="915"/>
      <c r="G25" s="915"/>
      <c r="H25" s="915"/>
      <c r="I25" s="915"/>
      <c r="J25" s="915"/>
      <c r="K25" s="915"/>
      <c r="L25" s="915"/>
      <c r="M25" s="915"/>
      <c r="N25" s="144"/>
      <c r="O25" s="428"/>
      <c r="S25" s="110"/>
    </row>
    <row r="26" spans="1:23" ht="12.75" customHeight="1" x14ac:dyDescent="0.2">
      <c r="A26" s="92"/>
      <c r="B26" s="94"/>
      <c r="C26" s="144"/>
      <c r="D26" s="914"/>
      <c r="E26" s="1391" t="str">
        <f ca="1">HYPERLINK("#"&amp;S26,CONST_LinkFromGuidance)</f>
        <v>Please click on this link if you want to go back to the relevant section for data entry.</v>
      </c>
      <c r="F26" s="1391"/>
      <c r="G26" s="1391"/>
      <c r="H26" s="1391"/>
      <c r="I26" s="1391"/>
      <c r="J26" s="1391"/>
      <c r="K26" s="1391"/>
      <c r="L26" s="1391"/>
      <c r="M26" s="1391"/>
      <c r="N26" s="1391"/>
      <c r="O26" s="428"/>
      <c r="R26" s="91" t="s">
        <v>2836</v>
      </c>
      <c r="S26" s="114" t="str">
        <f ca="1">ADDRESS(17,4,,,B_EmInst!$BD$2)</f>
        <v>B_EmInst!$D$17</v>
      </c>
    </row>
    <row r="27" spans="1:23" ht="5.0999999999999996" customHeight="1" x14ac:dyDescent="0.25">
      <c r="A27" s="92"/>
      <c r="B27" s="94"/>
      <c r="C27" s="144"/>
      <c r="D27" s="144"/>
      <c r="E27" s="144"/>
      <c r="F27" s="144"/>
      <c r="G27" s="144"/>
      <c r="H27" s="144"/>
      <c r="I27" s="144"/>
      <c r="J27" s="144"/>
      <c r="K27" s="144"/>
      <c r="L27" s="144"/>
      <c r="M27" s="144"/>
      <c r="N27" s="144"/>
      <c r="O27" s="428"/>
      <c r="W27" s="104"/>
    </row>
    <row r="28" spans="1:23" ht="25.5" customHeight="1" x14ac:dyDescent="0.2">
      <c r="A28" s="92"/>
      <c r="B28" s="94"/>
      <c r="C28" s="144"/>
      <c r="D28" s="914"/>
      <c r="E28" s="1392" t="str">
        <f>Translations!$B$1958</f>
        <v>Calculation based approaches: Source Streams (excluding PFC emissions)</v>
      </c>
      <c r="F28" s="1392"/>
      <c r="G28" s="1392"/>
      <c r="H28" s="1392"/>
      <c r="I28" s="1392"/>
      <c r="J28" s="1392"/>
      <c r="K28" s="1392"/>
      <c r="L28" s="1392"/>
      <c r="M28" s="1392"/>
      <c r="N28" s="1392"/>
      <c r="O28" s="428"/>
      <c r="S28" s="110"/>
    </row>
    <row r="29" spans="1:23" ht="25.5" customHeight="1" x14ac:dyDescent="0.2">
      <c r="A29" s="92"/>
      <c r="B29" s="94"/>
      <c r="C29" s="144"/>
      <c r="D29" s="914"/>
      <c r="E29" s="1380" t="str">
        <f>Translations!$B$1983</f>
        <v xml:space="preserve">This block is used for entering all emissions monitored using a "calculation-based approach" (Implementing Act Annex III section B.3). </v>
      </c>
      <c r="F29" s="1406"/>
      <c r="G29" s="1406"/>
      <c r="H29" s="1406"/>
      <c r="I29" s="1406"/>
      <c r="J29" s="1406"/>
      <c r="K29" s="1406"/>
      <c r="L29" s="1406"/>
      <c r="M29" s="1406"/>
      <c r="N29" s="1406"/>
      <c r="O29" s="428"/>
      <c r="S29" s="110"/>
    </row>
    <row r="30" spans="1:23" ht="25.5" customHeight="1" x14ac:dyDescent="0.2">
      <c r="A30" s="92"/>
      <c r="B30" s="94"/>
      <c r="C30" s="144"/>
      <c r="D30" s="914"/>
      <c r="E30" s="415" t="str">
        <f>Translations!$B$132</f>
        <v>Method</v>
      </c>
      <c r="F30" s="416"/>
      <c r="G30" s="1380" t="str">
        <f>Translations!$B$364</f>
        <v>Please select from the drop-down list the monitoring method applied for the relevant source stream: "combustion", "process emissions" or "mass balance".</v>
      </c>
      <c r="H30" s="1380"/>
      <c r="I30" s="1380"/>
      <c r="J30" s="1380"/>
      <c r="K30" s="1380"/>
      <c r="L30" s="1380"/>
      <c r="M30" s="1380"/>
      <c r="N30" s="1380"/>
      <c r="O30" s="428"/>
      <c r="S30" s="110"/>
    </row>
    <row r="31" spans="1:23" ht="25.9" customHeight="1" x14ac:dyDescent="0.2">
      <c r="A31" s="92"/>
      <c r="B31" s="94"/>
      <c r="C31" s="144"/>
      <c r="D31" s="914"/>
      <c r="E31" s="242" t="str">
        <f>Translations!$B$133</f>
        <v>Source stream name</v>
      </c>
      <c r="F31" s="414"/>
      <c r="G31" s="1380" t="str">
        <f>Translations!$B$365</f>
        <v>Please enter here the name of the source stream, e.g. coal, natural gas, clinker raw meal, limestone, iron ore, steel, scrap iron, scrap aluminium.</v>
      </c>
      <c r="H31" s="1380"/>
      <c r="I31" s="1380"/>
      <c r="J31" s="1380"/>
      <c r="K31" s="1380"/>
      <c r="L31" s="1380"/>
      <c r="M31" s="1380"/>
      <c r="N31" s="1380"/>
      <c r="O31" s="428"/>
      <c r="S31" s="110"/>
    </row>
    <row r="32" spans="1:23" ht="38.25" customHeight="1" x14ac:dyDescent="0.2">
      <c r="A32" s="92"/>
      <c r="B32" s="94"/>
      <c r="C32" s="144"/>
      <c r="D32" s="914"/>
      <c r="E32" s="242" t="str">
        <f>Translations!$B$134</f>
        <v>Activity data (AD)</v>
      </c>
      <c r="F32" s="414"/>
      <c r="G32" s="1380"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80"/>
      <c r="I32" s="1380"/>
      <c r="J32" s="1380"/>
      <c r="K32" s="1380"/>
      <c r="L32" s="1380"/>
      <c r="M32" s="1380"/>
      <c r="N32" s="1380"/>
      <c r="O32" s="428"/>
      <c r="S32" s="110"/>
    </row>
    <row r="33" spans="1:19" ht="25.5" customHeight="1" x14ac:dyDescent="0.2">
      <c r="A33" s="92"/>
      <c r="B33" s="94"/>
      <c r="C33" s="144"/>
      <c r="D33" s="914"/>
      <c r="E33" s="242" t="str">
        <f>Translations!$B$368</f>
        <v>AD unit</v>
      </c>
      <c r="F33" s="414"/>
      <c r="G33" s="1380" t="str">
        <f>Translations!$B$1985</f>
        <v>The corresponding units in which the amounts above are provided. Please select tonnes (t) for mass of solid, liquid or gaseous materials and fuels, or 1000 normal cubic metres (Nm³) for gases.</v>
      </c>
      <c r="H33" s="1380"/>
      <c r="I33" s="1380"/>
      <c r="J33" s="1380"/>
      <c r="K33" s="1380"/>
      <c r="L33" s="1380"/>
      <c r="M33" s="1380"/>
      <c r="N33" s="1380"/>
      <c r="O33" s="428"/>
      <c r="S33" s="110"/>
    </row>
    <row r="34" spans="1:19" ht="25.5" customHeight="1" x14ac:dyDescent="0.2">
      <c r="A34" s="92"/>
      <c r="B34" s="94"/>
      <c r="C34" s="144"/>
      <c r="D34" s="914"/>
      <c r="E34" s="413" t="str">
        <f>Translations!$B$136</f>
        <v>Net calorific value (NCV)</v>
      </c>
      <c r="F34" s="417"/>
      <c r="G34" s="1381" t="str">
        <f>Translations!$B$1986</f>
        <v>The net calorific value is the specific amount of energy released as heat when a fuel or material undergoes complete combustion with oxygen under standard conditions less the heat of vaporisation of any water formed.</v>
      </c>
      <c r="H34" s="1381"/>
      <c r="I34" s="1381"/>
      <c r="J34" s="1381"/>
      <c r="K34" s="1381"/>
      <c r="L34" s="1381"/>
      <c r="M34" s="1381"/>
      <c r="N34" s="1381"/>
      <c r="O34" s="428"/>
      <c r="S34" s="110"/>
    </row>
    <row r="35" spans="1:19" ht="39.6" customHeight="1" x14ac:dyDescent="0.2">
      <c r="A35" s="92"/>
      <c r="B35" s="94"/>
      <c r="C35" s="144"/>
      <c r="D35" s="914"/>
      <c r="E35" s="441"/>
      <c r="F35" s="442"/>
      <c r="G35" s="1382"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60"/>
      <c r="I35" s="1160"/>
      <c r="J35" s="1160"/>
      <c r="K35" s="1160"/>
      <c r="L35" s="1160"/>
      <c r="M35" s="1160"/>
      <c r="N35" s="1160"/>
      <c r="O35" s="428"/>
      <c r="S35" s="110"/>
    </row>
    <row r="36" spans="1:19" ht="26.45" customHeight="1" x14ac:dyDescent="0.2">
      <c r="A36" s="92"/>
      <c r="B36" s="94"/>
      <c r="C36" s="144"/>
      <c r="D36" s="914"/>
      <c r="E36" s="441"/>
      <c r="F36" s="442"/>
      <c r="G36" s="1382" t="str">
        <f>Translations!$B$1988</f>
        <v>For process emissions, the NCV can be entered for fuels used as process material. In this case, the unit for the emission factor must be chosen as "tCO2/TJ". Otherwise the NCV is ignored in the calculation of emissions.</v>
      </c>
      <c r="H36" s="1160"/>
      <c r="I36" s="1160"/>
      <c r="J36" s="1160"/>
      <c r="K36" s="1160"/>
      <c r="L36" s="1160"/>
      <c r="M36" s="1160"/>
      <c r="N36" s="1160"/>
      <c r="O36" s="428"/>
      <c r="S36" s="110"/>
    </row>
    <row r="37" spans="1:19" ht="13.15" customHeight="1" x14ac:dyDescent="0.2">
      <c r="A37" s="92"/>
      <c r="B37" s="94"/>
      <c r="C37" s="144"/>
      <c r="D37" s="914"/>
      <c r="E37" s="415"/>
      <c r="F37" s="416"/>
      <c r="G37" s="1385" t="str">
        <f>Translations!$B$1989</f>
        <v>For mass balances, the NCV can be entered for informative purposes, but it is not used for emission calculation.</v>
      </c>
      <c r="H37" s="1384"/>
      <c r="I37" s="1384"/>
      <c r="J37" s="1384"/>
      <c r="K37" s="1384"/>
      <c r="L37" s="1384"/>
      <c r="M37" s="1384"/>
      <c r="N37" s="1384"/>
      <c r="O37" s="428"/>
      <c r="S37" s="110"/>
    </row>
    <row r="38" spans="1:19" ht="38.65" customHeight="1" x14ac:dyDescent="0.2">
      <c r="A38" s="92"/>
      <c r="B38" s="94"/>
      <c r="C38" s="144"/>
      <c r="D38" s="914"/>
      <c r="E38" s="242" t="str">
        <f>Translations!$B$137</f>
        <v>NCV Unit</v>
      </c>
      <c r="F38" s="414"/>
      <c r="G38" s="1380"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3"/>
      <c r="I38" s="1383"/>
      <c r="J38" s="1383"/>
      <c r="K38" s="1383"/>
      <c r="L38" s="1383"/>
      <c r="M38" s="1383"/>
      <c r="N38" s="1383"/>
      <c r="O38" s="428"/>
      <c r="S38" s="110"/>
    </row>
    <row r="39" spans="1:19" ht="51.4" customHeight="1" x14ac:dyDescent="0.2">
      <c r="A39" s="92"/>
      <c r="B39" s="94"/>
      <c r="C39" s="144"/>
      <c r="D39" s="914"/>
      <c r="E39" s="242" t="str">
        <f>Translations!$B$138</f>
        <v>Emission factor (EF)</v>
      </c>
      <c r="F39" s="414"/>
      <c r="G39" s="1380"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80"/>
      <c r="I39" s="1380"/>
      <c r="J39" s="1380"/>
      <c r="K39" s="1380"/>
      <c r="L39" s="1380"/>
      <c r="M39" s="1380"/>
      <c r="N39" s="1380"/>
      <c r="O39" s="428"/>
      <c r="S39" s="110"/>
    </row>
    <row r="40" spans="1:19" ht="38.65" customHeight="1" x14ac:dyDescent="0.2">
      <c r="A40" s="92"/>
      <c r="B40" s="94"/>
      <c r="C40" s="144"/>
      <c r="D40" s="914"/>
      <c r="E40" s="242" t="str">
        <f>Translations!$B$139</f>
        <v>EF Unit</v>
      </c>
      <c r="F40" s="414"/>
      <c r="G40" s="1403"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4"/>
      <c r="I40" s="1404"/>
      <c r="J40" s="1404"/>
      <c r="K40" s="1404"/>
      <c r="L40" s="1404"/>
      <c r="M40" s="1404"/>
      <c r="N40" s="1404"/>
      <c r="O40" s="428"/>
      <c r="S40" s="110"/>
    </row>
    <row r="41" spans="1:19" ht="25.9" customHeight="1" x14ac:dyDescent="0.2">
      <c r="A41" s="92"/>
      <c r="B41" s="94"/>
      <c r="C41" s="144"/>
      <c r="D41" s="914"/>
      <c r="E41" s="242" t="str">
        <f>Translations!$B$140</f>
        <v>Carbon content</v>
      </c>
      <c r="F41" s="414"/>
      <c r="G41" s="1380" t="str">
        <f>Translations!$B$1993</f>
        <v>The carbon content of the fuel or material. This parameter is used only for the mass balance approach (Section B.3.2 of Annex III of the implementing act).</v>
      </c>
      <c r="H41" s="1380"/>
      <c r="I41" s="1380"/>
      <c r="J41" s="1380"/>
      <c r="K41" s="1380"/>
      <c r="L41" s="1380"/>
      <c r="M41" s="1380"/>
      <c r="N41" s="1380"/>
      <c r="O41" s="428"/>
      <c r="S41" s="110"/>
    </row>
    <row r="42" spans="1:19" ht="26.45" customHeight="1" x14ac:dyDescent="0.2">
      <c r="A42" s="92"/>
      <c r="B42" s="94"/>
      <c r="C42" s="144"/>
      <c r="D42" s="914"/>
      <c r="E42" s="242" t="str">
        <f>Translations!$B$141</f>
        <v>C-Content Unit</v>
      </c>
      <c r="F42" s="414"/>
      <c r="G42" s="1380" t="str">
        <f>Translations!$B$1994</f>
        <v xml:space="preserve">Depending on the selected unit for the activity data, the correct unit for the carbon content (either "tC/t material", or "tC/1000Nm3" for gases) is automatically displayed. </v>
      </c>
      <c r="H42" s="1380"/>
      <c r="I42" s="1380"/>
      <c r="J42" s="1380"/>
      <c r="K42" s="1380"/>
      <c r="L42" s="1380"/>
      <c r="M42" s="1380"/>
      <c r="N42" s="1380"/>
      <c r="O42" s="428"/>
      <c r="S42" s="110"/>
    </row>
    <row r="43" spans="1:19" ht="25.5" customHeight="1" x14ac:dyDescent="0.2">
      <c r="A43" s="92"/>
      <c r="B43" s="94"/>
      <c r="C43" s="144"/>
      <c r="D43" s="914"/>
      <c r="E43" s="413" t="str">
        <f>Translations!$B$142</f>
        <v>Oxidation factor (OxF)</v>
      </c>
      <c r="F43" s="417"/>
      <c r="G43" s="1381"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81"/>
      <c r="I43" s="1381"/>
      <c r="J43" s="1381"/>
      <c r="K43" s="1381"/>
      <c r="L43" s="1381"/>
      <c r="M43" s="1381"/>
      <c r="N43" s="1381"/>
      <c r="O43" s="428"/>
      <c r="S43" s="110"/>
    </row>
    <row r="44" spans="1:19" ht="25.5" customHeight="1" x14ac:dyDescent="0.2">
      <c r="A44" s="92"/>
      <c r="B44" s="94"/>
      <c r="C44" s="144"/>
      <c r="D44" s="914"/>
      <c r="E44" s="441"/>
      <c r="F44" s="442"/>
      <c r="G44" s="1385"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5"/>
      <c r="I44" s="1385"/>
      <c r="J44" s="1385"/>
      <c r="K44" s="1385"/>
      <c r="L44" s="1385"/>
      <c r="M44" s="1385"/>
      <c r="N44" s="1385"/>
      <c r="O44" s="428"/>
      <c r="S44" s="110"/>
    </row>
    <row r="45" spans="1:19" ht="13.15" customHeight="1" x14ac:dyDescent="0.2">
      <c r="A45" s="92"/>
      <c r="B45" s="94"/>
      <c r="C45" s="144"/>
      <c r="D45" s="914"/>
      <c r="E45" s="415"/>
      <c r="F45" s="416"/>
      <c r="G45" s="1385" t="str">
        <f>Translations!$B$1996</f>
        <v>Due to the way how Excel handles percentage values, only numbers WITHOUT percentage sign ("%") must be entered.</v>
      </c>
      <c r="H45" s="1385"/>
      <c r="I45" s="1385"/>
      <c r="J45" s="1385"/>
      <c r="K45" s="1385"/>
      <c r="L45" s="1385"/>
      <c r="M45" s="1385"/>
      <c r="N45" s="1385"/>
      <c r="O45" s="428"/>
      <c r="S45" s="110"/>
    </row>
    <row r="46" spans="1:19" ht="13.15" customHeight="1" x14ac:dyDescent="0.2">
      <c r="A46" s="92"/>
      <c r="B46" s="94"/>
      <c r="C46" s="144"/>
      <c r="D46" s="914"/>
      <c r="E46" s="242" t="str">
        <f>Translations!$B$143</f>
        <v>OxF Unit</v>
      </c>
      <c r="F46" s="414"/>
      <c r="G46" s="1380" t="str">
        <f>Translations!$B$1997</f>
        <v>The unit of the oxidation factor is always percent (%).</v>
      </c>
      <c r="H46" s="1380"/>
      <c r="I46" s="1380"/>
      <c r="J46" s="1380"/>
      <c r="K46" s="1380"/>
      <c r="L46" s="1380"/>
      <c r="M46" s="1380"/>
      <c r="N46" s="1380"/>
      <c r="O46" s="428"/>
      <c r="S46" s="110"/>
    </row>
    <row r="47" spans="1:19" ht="25.5" customHeight="1" x14ac:dyDescent="0.2">
      <c r="A47" s="92"/>
      <c r="B47" s="94"/>
      <c r="C47" s="144"/>
      <c r="D47" s="914"/>
      <c r="E47" s="413" t="str">
        <f>Translations!$B$144</f>
        <v>Conversion factor (ConvF)</v>
      </c>
      <c r="F47" s="417"/>
      <c r="G47" s="1380"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80"/>
      <c r="I47" s="1380"/>
      <c r="J47" s="1380"/>
      <c r="K47" s="1380"/>
      <c r="L47" s="1380"/>
      <c r="M47" s="1380"/>
      <c r="N47" s="1380"/>
      <c r="O47" s="428"/>
      <c r="S47" s="110"/>
    </row>
    <row r="48" spans="1:19" ht="25.5" customHeight="1" x14ac:dyDescent="0.2">
      <c r="A48" s="92"/>
      <c r="B48" s="94"/>
      <c r="C48" s="144"/>
      <c r="D48" s="914"/>
      <c r="E48" s="441"/>
      <c r="F48" s="442"/>
      <c r="G48" s="1385"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5"/>
      <c r="I48" s="1385"/>
      <c r="J48" s="1385"/>
      <c r="K48" s="1385"/>
      <c r="L48" s="1385"/>
      <c r="M48" s="1385"/>
      <c r="N48" s="1385"/>
      <c r="O48" s="428"/>
      <c r="S48" s="110"/>
    </row>
    <row r="49" spans="1:19" ht="13.15" customHeight="1" x14ac:dyDescent="0.2">
      <c r="A49" s="92"/>
      <c r="B49" s="94"/>
      <c r="C49" s="144"/>
      <c r="D49" s="914"/>
      <c r="E49" s="415"/>
      <c r="F49" s="416"/>
      <c r="G49" s="1385" t="str">
        <f>Translations!$B$1996</f>
        <v>Due to the way how Excel handles percentage values, only numbers WITHOUT percentage sign ("%") must be entered.</v>
      </c>
      <c r="H49" s="1385"/>
      <c r="I49" s="1385"/>
      <c r="J49" s="1385"/>
      <c r="K49" s="1385"/>
      <c r="L49" s="1385"/>
      <c r="M49" s="1385"/>
      <c r="N49" s="1385"/>
      <c r="O49" s="428"/>
      <c r="S49" s="110"/>
    </row>
    <row r="50" spans="1:19" ht="13.15" customHeight="1" x14ac:dyDescent="0.2">
      <c r="A50" s="92"/>
      <c r="B50" s="94"/>
      <c r="C50" s="144"/>
      <c r="D50" s="914"/>
      <c r="E50" s="242" t="str">
        <f>Translations!$B$145</f>
        <v>ConvF Unit</v>
      </c>
      <c r="F50" s="414"/>
      <c r="G50" s="1380" t="str">
        <f>Translations!$B$1999</f>
        <v>The unit of the conversion factor is always percent (%).</v>
      </c>
      <c r="H50" s="1380"/>
      <c r="I50" s="1380"/>
      <c r="J50" s="1380"/>
      <c r="K50" s="1380"/>
      <c r="L50" s="1380"/>
      <c r="M50" s="1380"/>
      <c r="N50" s="1380"/>
      <c r="O50" s="428"/>
      <c r="S50" s="110"/>
    </row>
    <row r="51" spans="1:19" ht="25.5" customHeight="1" x14ac:dyDescent="0.2">
      <c r="A51" s="92"/>
      <c r="B51" s="94"/>
      <c r="C51" s="144"/>
      <c r="D51" s="914"/>
      <c r="E51" s="413" t="str">
        <f>Translations!$B$146</f>
        <v>Biomass content (BioC)</v>
      </c>
      <c r="F51" s="417"/>
      <c r="G51" s="1381" t="str">
        <f>Translations!$B$378</f>
        <v>The biomass fraction is the ratio of carbon stemming from biomass to the total carbon content of a fuel or material, expressed as percentage.</v>
      </c>
      <c r="H51" s="1381"/>
      <c r="I51" s="1381"/>
      <c r="J51" s="1381"/>
      <c r="K51" s="1381"/>
      <c r="L51" s="1381"/>
      <c r="M51" s="1381"/>
      <c r="N51" s="1381"/>
      <c r="O51" s="428"/>
      <c r="S51" s="110"/>
    </row>
    <row r="52" spans="1:19" ht="38.65" customHeight="1" x14ac:dyDescent="0.2">
      <c r="A52" s="92"/>
      <c r="B52" s="94"/>
      <c r="C52" s="144"/>
      <c r="D52" s="914"/>
      <c r="E52" s="441"/>
      <c r="F52" s="442"/>
      <c r="G52" s="1382"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82"/>
      <c r="I52" s="1382"/>
      <c r="J52" s="1382"/>
      <c r="K52" s="1382"/>
      <c r="L52" s="1382"/>
      <c r="M52" s="1382"/>
      <c r="N52" s="1382"/>
      <c r="O52" s="428"/>
      <c r="S52" s="110"/>
    </row>
    <row r="53" spans="1:19" ht="13.15" customHeight="1" x14ac:dyDescent="0.2">
      <c r="A53" s="92"/>
      <c r="B53" s="94"/>
      <c r="C53" s="144"/>
      <c r="D53" s="914"/>
      <c r="E53" s="415"/>
      <c r="F53" s="416"/>
      <c r="G53" s="1385" t="str">
        <f>Translations!$B$1996</f>
        <v>Due to the way how Excel handles percentage values, only numbers WITHOUT percentage sign ("%") must be entered.</v>
      </c>
      <c r="H53" s="1385"/>
      <c r="I53" s="1385"/>
      <c r="J53" s="1385"/>
      <c r="K53" s="1385"/>
      <c r="L53" s="1385"/>
      <c r="M53" s="1385"/>
      <c r="N53" s="1385"/>
      <c r="O53" s="428"/>
      <c r="S53" s="110"/>
    </row>
    <row r="54" spans="1:19" ht="13.15" customHeight="1" x14ac:dyDescent="0.2">
      <c r="A54" s="92"/>
      <c r="B54" s="94"/>
      <c r="C54" s="144"/>
      <c r="D54" s="914"/>
      <c r="E54" s="242" t="str">
        <f>Translations!$B$147</f>
        <v>BioC Unit</v>
      </c>
      <c r="F54" s="414"/>
      <c r="G54" s="1380" t="str">
        <f>Translations!$B$2001</f>
        <v>The unit of the biomass fraction is always percent (%).</v>
      </c>
      <c r="H54" s="1380"/>
      <c r="I54" s="1380"/>
      <c r="J54" s="1380"/>
      <c r="K54" s="1380"/>
      <c r="L54" s="1380"/>
      <c r="M54" s="1380"/>
      <c r="N54" s="1380"/>
      <c r="O54" s="428"/>
      <c r="S54" s="110"/>
    </row>
    <row r="55" spans="1:19" ht="25.5" customHeight="1" x14ac:dyDescent="0.2">
      <c r="A55" s="92"/>
      <c r="B55" s="94"/>
      <c r="C55" s="144"/>
      <c r="D55" s="914"/>
      <c r="E55" s="242" t="str">
        <f>Translations!$B$379</f>
        <v>Further columns greyed out</v>
      </c>
      <c r="F55" s="414"/>
      <c r="G55" s="1380" t="str">
        <f>Translations!$B$380</f>
        <v>Further columns are relevant for PFC emissions or emission sources (measurement-based approaches), but not for source streams. For source streams they are therefore greyed out.</v>
      </c>
      <c r="H55" s="1380"/>
      <c r="I55" s="1380"/>
      <c r="J55" s="1380"/>
      <c r="K55" s="1380"/>
      <c r="L55" s="1380"/>
      <c r="M55" s="1380"/>
      <c r="N55" s="1380"/>
      <c r="O55" s="428"/>
      <c r="S55" s="110"/>
    </row>
    <row r="56" spans="1:19" ht="25.5" customHeight="1" x14ac:dyDescent="0.2">
      <c r="A56" s="92"/>
      <c r="B56" s="94"/>
      <c r="C56" s="144"/>
      <c r="D56" s="914"/>
      <c r="E56" s="413" t="str">
        <f>Translations!$B$381</f>
        <v>Energy and emissions</v>
      </c>
      <c r="F56" s="417"/>
      <c r="G56" s="1381" t="str">
        <f>Translations!$B$2002</f>
        <v>On the far right side of each block the total energy content and GHG emissions (fossil and biogenic) are calculated automatically for each source stream.</v>
      </c>
      <c r="H56" s="1381"/>
      <c r="I56" s="1381"/>
      <c r="J56" s="1381"/>
      <c r="K56" s="1381"/>
      <c r="L56" s="1381"/>
      <c r="M56" s="1381"/>
      <c r="N56" s="1381"/>
      <c r="O56" s="428"/>
      <c r="S56" s="110"/>
    </row>
    <row r="57" spans="1:19" ht="25.5" customHeight="1" x14ac:dyDescent="0.2">
      <c r="A57" s="92"/>
      <c r="B57" s="94"/>
      <c r="C57" s="144"/>
      <c r="D57" s="914"/>
      <c r="E57" s="441"/>
      <c r="F57" s="442"/>
      <c r="G57" s="1382" t="str">
        <f>Translations!$B$2003</f>
        <v>If the units of activity data and emission factor are inconsistent, the message "Inconsistent!" is displayed. If the inputs are incomplete, the message "Incomplete!" is shown.</v>
      </c>
      <c r="H57" s="1160"/>
      <c r="I57" s="1160"/>
      <c r="J57" s="1160"/>
      <c r="K57" s="1160"/>
      <c r="L57" s="1160"/>
      <c r="M57" s="1160"/>
      <c r="N57" s="1160"/>
      <c r="O57" s="428"/>
      <c r="S57" s="110"/>
    </row>
    <row r="58" spans="1:19" ht="26.45" customHeight="1" x14ac:dyDescent="0.2">
      <c r="A58" s="92"/>
      <c r="B58" s="94"/>
      <c r="C58" s="144"/>
      <c r="D58" s="914"/>
      <c r="E58" s="415"/>
      <c r="F58" s="416"/>
      <c r="G58" s="1409" t="str">
        <f>Translations!$B$2004</f>
        <v>The fossil emissions are the necessary basis for determining the embedded emissions of CBAM goods. The results are automatically transferred into sheet C_Emissions&amp;Energy.</v>
      </c>
      <c r="H58" s="1186"/>
      <c r="I58" s="1186"/>
      <c r="J58" s="1186"/>
      <c r="K58" s="1186"/>
      <c r="L58" s="1186"/>
      <c r="M58" s="1186"/>
      <c r="N58" s="1186"/>
      <c r="O58" s="428"/>
      <c r="S58" s="110"/>
    </row>
    <row r="59" spans="1:19" ht="25.5" customHeight="1" x14ac:dyDescent="0.2">
      <c r="A59" s="92"/>
      <c r="B59" s="94"/>
      <c r="C59" s="144"/>
      <c r="D59" s="914"/>
      <c r="E59" s="1392" t="str">
        <f>Translations!$B$1962</f>
        <v>PFC (perfluorocarbon) emissions</v>
      </c>
      <c r="F59" s="1392"/>
      <c r="G59" s="1392"/>
      <c r="H59" s="1392"/>
      <c r="I59" s="1392"/>
      <c r="J59" s="1392"/>
      <c r="K59" s="1392"/>
      <c r="L59" s="1392"/>
      <c r="M59" s="1392"/>
      <c r="N59" s="1392"/>
      <c r="O59" s="428"/>
      <c r="S59" s="110"/>
    </row>
    <row r="60" spans="1:19" ht="25.5" customHeight="1" x14ac:dyDescent="0.2">
      <c r="A60" s="92"/>
      <c r="B60" s="94"/>
      <c r="C60" s="144"/>
      <c r="D60" s="914"/>
      <c r="E60" s="1380" t="str">
        <f>Translations!$B$2005</f>
        <v xml:space="preserve">This block is used for entering all emissions monitored using the specific approach for PFC emissions (Implementing Act Annex III section B.7). </v>
      </c>
      <c r="F60" s="1393"/>
      <c r="G60" s="1393"/>
      <c r="H60" s="1393"/>
      <c r="I60" s="1393"/>
      <c r="J60" s="1393"/>
      <c r="K60" s="1393"/>
      <c r="L60" s="1393"/>
      <c r="M60" s="1393"/>
      <c r="N60" s="1393"/>
      <c r="O60" s="428"/>
      <c r="S60" s="110"/>
    </row>
    <row r="61" spans="1:19" ht="13.15" customHeight="1" x14ac:dyDescent="0.2">
      <c r="A61" s="92"/>
      <c r="B61" s="94"/>
      <c r="C61" s="144"/>
      <c r="D61" s="914"/>
      <c r="E61" s="415" t="str">
        <f>Translations!$B$132</f>
        <v>Method</v>
      </c>
      <c r="F61" s="414"/>
      <c r="G61" s="1380" t="str">
        <f>Translations!$B$384</f>
        <v>Please select from the drop-down list the monitoring method applied: "slope" (Method A) or "overvoltage" (Method B).</v>
      </c>
      <c r="H61" s="1380"/>
      <c r="I61" s="1380"/>
      <c r="J61" s="1380"/>
      <c r="K61" s="1380"/>
      <c r="L61" s="1380"/>
      <c r="M61" s="1380"/>
      <c r="N61" s="1380"/>
      <c r="O61" s="428"/>
      <c r="S61" s="110"/>
    </row>
    <row r="62" spans="1:19" ht="12.75" customHeight="1" x14ac:dyDescent="0.2">
      <c r="A62" s="92"/>
      <c r="B62" s="94"/>
      <c r="C62" s="144"/>
      <c r="D62" s="914"/>
      <c r="E62" s="242" t="str">
        <f>Translations!$B$1963</f>
        <v>Technology type</v>
      </c>
      <c r="F62" s="414"/>
      <c r="G62" s="1380" t="str">
        <f>Translations!$B$2006</f>
        <v>Please provide here the type of anode technology such as Centre Worked Pre-Bake (CWPB), Vertical Stud Søderberg (VSS), etc.</v>
      </c>
      <c r="H62" s="1380"/>
      <c r="I62" s="1380"/>
      <c r="J62" s="1380"/>
      <c r="K62" s="1380"/>
      <c r="L62" s="1380"/>
      <c r="M62" s="1380"/>
      <c r="N62" s="1380"/>
      <c r="O62" s="428"/>
      <c r="S62" s="110"/>
    </row>
    <row r="63" spans="1:19" ht="12.75" customHeight="1" x14ac:dyDescent="0.2">
      <c r="A63" s="92"/>
      <c r="B63" s="94"/>
      <c r="C63" s="144"/>
      <c r="D63" s="914"/>
      <c r="E63" s="242" t="str">
        <f>B_EmInst!$F$13</f>
        <v>Activity data (AD)</v>
      </c>
      <c r="F63" s="414"/>
      <c r="G63" s="1380" t="str">
        <f>Translations!$B$386</f>
        <v>Activity data = annual production of primary Aluminium</v>
      </c>
      <c r="H63" s="1380"/>
      <c r="I63" s="1380"/>
      <c r="J63" s="1380"/>
      <c r="K63" s="1380"/>
      <c r="L63" s="1380"/>
      <c r="M63" s="1380"/>
      <c r="N63" s="1380"/>
      <c r="O63" s="428"/>
      <c r="S63" s="110"/>
    </row>
    <row r="64" spans="1:19" ht="12.75" customHeight="1" x14ac:dyDescent="0.2">
      <c r="A64" s="92"/>
      <c r="B64" s="94"/>
      <c r="C64" s="144"/>
      <c r="D64" s="914"/>
      <c r="E64" s="242" t="str">
        <f>Translations!$B$135</f>
        <v>AD Unit</v>
      </c>
      <c r="F64" s="414"/>
      <c r="G64" s="1380" t="str">
        <f>Translations!$B$2007</f>
        <v>The unit of activity data (default: Tonnes)</v>
      </c>
      <c r="H64" s="1270"/>
      <c r="I64" s="1270"/>
      <c r="J64" s="1270"/>
      <c r="K64" s="1270"/>
      <c r="L64" s="1270"/>
      <c r="M64" s="1270"/>
      <c r="N64" s="1270"/>
      <c r="O64" s="428"/>
      <c r="S64" s="110"/>
    </row>
    <row r="65" spans="1:19" ht="25.5" customHeight="1" x14ac:dyDescent="0.2">
      <c r="A65" s="92"/>
      <c r="B65" s="94"/>
      <c r="C65" s="144"/>
      <c r="D65" s="914"/>
      <c r="E65" s="242" t="str">
        <f>Translations!$B$379</f>
        <v>Further columns greyed out</v>
      </c>
      <c r="F65" s="414"/>
      <c r="G65" s="1380" t="str">
        <f>Translations!$B$2008</f>
        <v>Further columns which are irrelevant for PFC emissions are greyed out in this table. Please scroll to the right until you reach columns relevant for PFCs.</v>
      </c>
      <c r="H65" s="1380"/>
      <c r="I65" s="1380"/>
      <c r="J65" s="1380"/>
      <c r="K65" s="1380"/>
      <c r="L65" s="1380"/>
      <c r="M65" s="1380"/>
      <c r="N65" s="1380"/>
      <c r="O65" s="428"/>
      <c r="S65" s="110"/>
    </row>
    <row r="66" spans="1:19" ht="12.75" customHeight="1" x14ac:dyDescent="0.2">
      <c r="A66" s="92"/>
      <c r="B66" s="94"/>
      <c r="C66" s="144"/>
      <c r="D66" s="914"/>
      <c r="E66" s="242" t="str">
        <f>Translations!$B$161</f>
        <v>A: Frequency</v>
      </c>
      <c r="F66" s="414"/>
      <c r="G66" s="1380" t="str">
        <f>Translations!$B$387</f>
        <v>Method A: The frequency of anode effects (number of anode effects/cell-day)</v>
      </c>
      <c r="H66" s="1380"/>
      <c r="I66" s="1380"/>
      <c r="J66" s="1380"/>
      <c r="K66" s="1380"/>
      <c r="L66" s="1380"/>
      <c r="M66" s="1380"/>
      <c r="N66" s="1380"/>
      <c r="O66" s="428"/>
      <c r="S66" s="110"/>
    </row>
    <row r="67" spans="1:19" ht="12.75" customHeight="1" x14ac:dyDescent="0.2">
      <c r="A67" s="92"/>
      <c r="B67" s="94"/>
      <c r="C67" s="144"/>
      <c r="D67" s="914"/>
      <c r="E67" s="242" t="str">
        <f>Translations!$B$162</f>
        <v>A: Duration</v>
      </c>
      <c r="F67" s="414"/>
      <c r="G67" s="1380" t="str">
        <f>Translations!$B$388</f>
        <v>Method A: The average duration of anode effects (anode effect minutes/occurrence)</v>
      </c>
      <c r="H67" s="1380"/>
      <c r="I67" s="1380"/>
      <c r="J67" s="1380"/>
      <c r="K67" s="1380"/>
      <c r="L67" s="1380"/>
      <c r="M67" s="1380"/>
      <c r="N67" s="1380"/>
      <c r="O67" s="428"/>
      <c r="S67" s="110"/>
    </row>
    <row r="68" spans="1:19" ht="12.75" customHeight="1" x14ac:dyDescent="0.2">
      <c r="A68" s="92"/>
      <c r="B68" s="94"/>
      <c r="C68" s="144"/>
      <c r="D68" s="914"/>
      <c r="E68" s="242" t="str">
        <f>Translations!$B$163</f>
        <v>A: SEF(CF4)</v>
      </c>
      <c r="F68" s="414"/>
      <c r="G68" s="1380" t="str">
        <f>Translations!$B$2009</f>
        <v>Method A: The slope emission factor (kgCF4/tAl)/(min/cell-day)</v>
      </c>
      <c r="H68" s="1380"/>
      <c r="I68" s="1380"/>
      <c r="J68" s="1380"/>
      <c r="K68" s="1380"/>
      <c r="L68" s="1380"/>
      <c r="M68" s="1380"/>
      <c r="N68" s="1380"/>
      <c r="O68" s="428"/>
      <c r="S68" s="110"/>
    </row>
    <row r="69" spans="1:19" ht="12.75" customHeight="1" x14ac:dyDescent="0.2">
      <c r="A69" s="92"/>
      <c r="B69" s="94"/>
      <c r="C69" s="144"/>
      <c r="D69" s="914"/>
      <c r="E69" s="242" t="str">
        <f>Translations!$B$164</f>
        <v>B: AEO</v>
      </c>
      <c r="F69" s="414"/>
      <c r="G69" s="1380" t="str">
        <f>Translations!$B$2010</f>
        <v>Method B: The anode effect overvoltage per cell (mV)</v>
      </c>
      <c r="H69" s="1380"/>
      <c r="I69" s="1380"/>
      <c r="J69" s="1380"/>
      <c r="K69" s="1380"/>
      <c r="L69" s="1380"/>
      <c r="M69" s="1380"/>
      <c r="N69" s="1380"/>
      <c r="O69" s="428"/>
      <c r="S69" s="110"/>
    </row>
    <row r="70" spans="1:19" ht="12.75" customHeight="1" x14ac:dyDescent="0.2">
      <c r="A70" s="92"/>
      <c r="B70" s="94"/>
      <c r="C70" s="144"/>
      <c r="D70" s="914"/>
      <c r="E70" s="242" t="str">
        <f>Translations!$B$165</f>
        <v>B: CE</v>
      </c>
      <c r="F70" s="414"/>
      <c r="G70" s="1380" t="str">
        <f>Translations!$B$2011</f>
        <v>Method B: The average current efficiency (as % or values between 0 and 1)</v>
      </c>
      <c r="H70" s="1380"/>
      <c r="I70" s="1380"/>
      <c r="J70" s="1380"/>
      <c r="K70" s="1380"/>
      <c r="L70" s="1380"/>
      <c r="M70" s="1380"/>
      <c r="N70" s="1380"/>
      <c r="O70" s="428"/>
      <c r="S70" s="110"/>
    </row>
    <row r="71" spans="1:19" ht="12.75" customHeight="1" x14ac:dyDescent="0.2">
      <c r="A71" s="92"/>
      <c r="B71" s="94"/>
      <c r="C71" s="144"/>
      <c r="D71" s="914"/>
      <c r="E71" s="242" t="str">
        <f>Translations!$B$166</f>
        <v>B: OVC</v>
      </c>
      <c r="F71" s="414"/>
      <c r="G71" s="1380" t="str">
        <f>Translations!$B$2012</f>
        <v>Method B: The overvoltage coefficient (‘emission factor’) (kg CF4)/(t Al mV)</v>
      </c>
      <c r="H71" s="1380"/>
      <c r="I71" s="1380"/>
      <c r="J71" s="1380"/>
      <c r="K71" s="1380"/>
      <c r="L71" s="1380"/>
      <c r="M71" s="1380"/>
      <c r="N71" s="1380"/>
      <c r="O71" s="428"/>
      <c r="S71" s="110"/>
    </row>
    <row r="72" spans="1:19" ht="12.75" customHeight="1" x14ac:dyDescent="0.2">
      <c r="A72" s="92"/>
      <c r="B72" s="94"/>
      <c r="C72" s="144"/>
      <c r="D72" s="914"/>
      <c r="E72" s="242" t="str">
        <f>Translations!$B$167</f>
        <v>F(C2F6)</v>
      </c>
      <c r="F72" s="414"/>
      <c r="G72" s="1380" t="str">
        <f>Translations!$B$2013</f>
        <v>The weight fraction of C2F6 (t C2F6/t CF4) (both methods A and B)</v>
      </c>
      <c r="H72" s="1380"/>
      <c r="I72" s="1380"/>
      <c r="J72" s="1380"/>
      <c r="K72" s="1380"/>
      <c r="L72" s="1380"/>
      <c r="M72" s="1380"/>
      <c r="N72" s="1380"/>
      <c r="O72" s="428"/>
      <c r="S72" s="110"/>
    </row>
    <row r="73" spans="1:19" ht="12.75" customHeight="1" x14ac:dyDescent="0.2">
      <c r="A73" s="92"/>
      <c r="B73" s="94"/>
      <c r="C73" s="144"/>
      <c r="D73" s="914"/>
      <c r="E73" s="242" t="str">
        <f>Translations!$B$168</f>
        <v>CF4 Emissions (t CF4)</v>
      </c>
      <c r="F73" s="414"/>
      <c r="G73" s="1380" t="str">
        <f>Translations!$B$2014</f>
        <v>The emissions of CF4 calculated automatically from the previous inputs as tonnes CF4</v>
      </c>
      <c r="H73" s="1383"/>
      <c r="I73" s="1383"/>
      <c r="J73" s="1383"/>
      <c r="K73" s="1383"/>
      <c r="L73" s="1383"/>
      <c r="M73" s="1383"/>
      <c r="N73" s="1383"/>
      <c r="O73" s="428"/>
      <c r="S73" s="110"/>
    </row>
    <row r="74" spans="1:19" ht="12.75" customHeight="1" x14ac:dyDescent="0.2">
      <c r="A74" s="92"/>
      <c r="B74" s="94"/>
      <c r="C74" s="144"/>
      <c r="D74" s="914"/>
      <c r="E74" s="242" t="str">
        <f>Translations!$B$169</f>
        <v>C2F6 Emissions (t C2F6)</v>
      </c>
      <c r="F74" s="414"/>
      <c r="G74" s="1380" t="str">
        <f>Translations!$B$2015</f>
        <v>The emissions of C2F6 calculated automatically from the previous inputs as tonnes C2F6</v>
      </c>
      <c r="H74" s="1383"/>
      <c r="I74" s="1383"/>
      <c r="J74" s="1383"/>
      <c r="K74" s="1383"/>
      <c r="L74" s="1383"/>
      <c r="M74" s="1383"/>
      <c r="N74" s="1383"/>
      <c r="O74" s="428"/>
      <c r="S74" s="110"/>
    </row>
    <row r="75" spans="1:19" ht="12.75" customHeight="1" x14ac:dyDescent="0.2">
      <c r="A75" s="92"/>
      <c r="B75" s="94"/>
      <c r="C75" s="144"/>
      <c r="D75" s="914"/>
      <c r="E75" s="242" t="str">
        <f>Translations!$B$394</f>
        <v>GWP (CF4)</v>
      </c>
      <c r="F75" s="414"/>
      <c r="G75" s="1380" t="str">
        <f>Translations!$B$395</f>
        <v>The global warming potential of CF4</v>
      </c>
      <c r="H75" s="1380"/>
      <c r="I75" s="1380"/>
      <c r="J75" s="1380"/>
      <c r="K75" s="1380"/>
      <c r="L75" s="1380"/>
      <c r="M75" s="1380"/>
      <c r="N75" s="1380"/>
      <c r="O75" s="428"/>
      <c r="S75" s="110"/>
    </row>
    <row r="76" spans="1:19" ht="12.75" customHeight="1" x14ac:dyDescent="0.2">
      <c r="A76" s="92"/>
      <c r="B76" s="94"/>
      <c r="C76" s="144"/>
      <c r="D76" s="914"/>
      <c r="E76" s="242" t="str">
        <f>Translations!$B$396</f>
        <v>GWP (C2F6)</v>
      </c>
      <c r="F76" s="414"/>
      <c r="G76" s="1380" t="str">
        <f>Translations!$B$397</f>
        <v>The global warming potential of C2F6</v>
      </c>
      <c r="H76" s="1380"/>
      <c r="I76" s="1380"/>
      <c r="J76" s="1380"/>
      <c r="K76" s="1380"/>
      <c r="L76" s="1380"/>
      <c r="M76" s="1380"/>
      <c r="N76" s="1380"/>
      <c r="O76" s="428"/>
      <c r="S76" s="110"/>
    </row>
    <row r="77" spans="1:19" ht="12.75" customHeight="1" x14ac:dyDescent="0.2">
      <c r="A77" s="92"/>
      <c r="B77" s="94"/>
      <c r="C77" s="144"/>
      <c r="D77" s="914"/>
      <c r="E77" s="242" t="str">
        <f>Translations!$B$398</f>
        <v>Collection efficiency</v>
      </c>
      <c r="F77" s="414"/>
      <c r="G77" s="1380" t="str">
        <f>Translations!$B$2016</f>
        <v>Efficiency of the collection of the fugitive PFC emissions (%)</v>
      </c>
      <c r="H77" s="1380"/>
      <c r="I77" s="1380"/>
      <c r="J77" s="1380"/>
      <c r="K77" s="1380"/>
      <c r="L77" s="1380"/>
      <c r="M77" s="1380"/>
      <c r="N77" s="1380"/>
      <c r="O77" s="428"/>
      <c r="S77" s="110"/>
    </row>
    <row r="78" spans="1:19" ht="12.75" customHeight="1" x14ac:dyDescent="0.2">
      <c r="A78" s="92"/>
      <c r="B78" s="94"/>
      <c r="C78" s="144"/>
      <c r="D78" s="914"/>
      <c r="E78" s="415" t="str">
        <f>Translations!$B$175</f>
        <v>CO2e fossil (t)</v>
      </c>
      <c r="F78" s="416"/>
      <c r="G78" s="1380" t="str">
        <f>Translations!$B$2017</f>
        <v>The PFC emissions converted into t CO2e</v>
      </c>
      <c r="H78" s="1383"/>
      <c r="I78" s="1383"/>
      <c r="J78" s="1383"/>
      <c r="K78" s="1383"/>
      <c r="L78" s="1383"/>
      <c r="M78" s="1383"/>
      <c r="N78" s="1383"/>
      <c r="O78" s="428"/>
      <c r="S78" s="110"/>
    </row>
    <row r="79" spans="1:19" ht="25.5" customHeight="1" x14ac:dyDescent="0.2">
      <c r="A79" s="92"/>
      <c r="B79" s="94"/>
      <c r="C79" s="144"/>
      <c r="D79" s="914"/>
      <c r="E79" s="1392" t="str">
        <f>Translations!$B$1964</f>
        <v>Measurement-Based Approaches: Emissions Sources</v>
      </c>
      <c r="F79" s="1392"/>
      <c r="G79" s="1392"/>
      <c r="H79" s="1392"/>
      <c r="I79" s="1392"/>
      <c r="J79" s="1392"/>
      <c r="K79" s="1392"/>
      <c r="L79" s="1392"/>
      <c r="M79" s="1392"/>
      <c r="N79" s="1392"/>
      <c r="O79" s="428"/>
      <c r="S79" s="110"/>
    </row>
    <row r="80" spans="1:19" ht="25.5" customHeight="1" x14ac:dyDescent="0.2">
      <c r="A80" s="92"/>
      <c r="B80" s="94"/>
      <c r="C80" s="144"/>
      <c r="D80" s="914"/>
      <c r="E80" s="1380" t="str">
        <f>Translations!$B$2018</f>
        <v>This block is used for entering all emissions monitored using the measurement-based approach using Continuous Emission Monitoring Systems / CEMS (Implementing Act Annex III section B.6).</v>
      </c>
      <c r="F80" s="1393"/>
      <c r="G80" s="1393"/>
      <c r="H80" s="1393"/>
      <c r="I80" s="1393"/>
      <c r="J80" s="1393"/>
      <c r="K80" s="1393"/>
      <c r="L80" s="1393"/>
      <c r="M80" s="1393"/>
      <c r="N80" s="1393"/>
      <c r="O80" s="428"/>
      <c r="S80" s="110"/>
    </row>
    <row r="81" spans="1:19" ht="12.75" customHeight="1" x14ac:dyDescent="0.2">
      <c r="A81" s="92"/>
      <c r="B81" s="94"/>
      <c r="C81" s="144"/>
      <c r="D81" s="914"/>
      <c r="E81" s="415" t="str">
        <f>Translations!$B$122</f>
        <v>Name</v>
      </c>
      <c r="F81" s="414"/>
      <c r="G81" s="1380" t="str">
        <f>Translations!$B$401</f>
        <v>Please enter here a name for the emission source or the point of emission, e.g. Stack xyz.</v>
      </c>
      <c r="H81" s="1380"/>
      <c r="I81" s="1380"/>
      <c r="J81" s="1380"/>
      <c r="K81" s="1380"/>
      <c r="L81" s="1380"/>
      <c r="M81" s="1380"/>
      <c r="N81" s="1380"/>
      <c r="O81" s="428"/>
      <c r="S81" s="110"/>
    </row>
    <row r="82" spans="1:19" ht="12.75" customHeight="1" x14ac:dyDescent="0.2">
      <c r="A82" s="92"/>
      <c r="B82" s="94"/>
      <c r="C82" s="144"/>
      <c r="D82" s="914"/>
      <c r="E82" s="242" t="str">
        <f>Translations!$B$209</f>
        <v>Type of GHG</v>
      </c>
      <c r="F82" s="414"/>
      <c r="G82" s="1380" t="str">
        <f>Translations!$B$402</f>
        <v>Please provide here the type of greenhouse gas (GHG) measured in the flue gas: CO2 or N2O.</v>
      </c>
      <c r="H82" s="1380"/>
      <c r="I82" s="1380"/>
      <c r="J82" s="1380"/>
      <c r="K82" s="1380"/>
      <c r="L82" s="1380"/>
      <c r="M82" s="1380"/>
      <c r="N82" s="1380"/>
      <c r="O82" s="428"/>
      <c r="S82" s="110"/>
    </row>
    <row r="83" spans="1:19" ht="25.5" customHeight="1" x14ac:dyDescent="0.2">
      <c r="A83" s="92"/>
      <c r="B83" s="94"/>
      <c r="C83" s="144"/>
      <c r="D83" s="914"/>
      <c r="E83" s="242" t="str">
        <f>Translations!$B$379</f>
        <v>Further columns greyed out</v>
      </c>
      <c r="F83" s="414"/>
      <c r="G83" s="1380" t="str">
        <f>Translations!$B$2019</f>
        <v>Further columns which are relevant for calculation-based approaches only are greyed out in this table. Please scroll to the right until you reach columns relevant for CEMS.</v>
      </c>
      <c r="H83" s="1380"/>
      <c r="I83" s="1380"/>
      <c r="J83" s="1380"/>
      <c r="K83" s="1380"/>
      <c r="L83" s="1380"/>
      <c r="M83" s="1380"/>
      <c r="N83" s="1380"/>
      <c r="O83" s="428"/>
      <c r="S83" s="110"/>
    </row>
    <row r="84" spans="1:19" ht="25.5" customHeight="1" x14ac:dyDescent="0.2">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81"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81"/>
      <c r="I84" s="1381"/>
      <c r="J84" s="1381"/>
      <c r="K84" s="1381"/>
      <c r="L84" s="1381"/>
      <c r="M84" s="1381"/>
      <c r="N84" s="1381"/>
      <c r="O84" s="428"/>
      <c r="S84" s="110"/>
    </row>
    <row r="85" spans="1:19" ht="38.65" customHeight="1" x14ac:dyDescent="0.2">
      <c r="A85" s="92"/>
      <c r="B85" s="94"/>
      <c r="C85" s="144"/>
      <c r="D85" s="914"/>
      <c r="E85" s="441"/>
      <c r="F85" s="442"/>
      <c r="G85" s="1382"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82"/>
      <c r="I85" s="1382"/>
      <c r="J85" s="1382"/>
      <c r="K85" s="1382"/>
      <c r="L85" s="1382"/>
      <c r="M85" s="1382"/>
      <c r="N85" s="1382"/>
      <c r="O85" s="428"/>
      <c r="S85" s="110"/>
    </row>
    <row r="86" spans="1:19" ht="13.15" customHeight="1" x14ac:dyDescent="0.2">
      <c r="A86" s="92"/>
      <c r="B86" s="94"/>
      <c r="C86" s="144"/>
      <c r="D86" s="914"/>
      <c r="E86" s="415"/>
      <c r="F86" s="416"/>
      <c r="G86" s="1385" t="str">
        <f>Translations!$B$1996</f>
        <v>Due to the way how Excel handles percentage values, only numbers WITHOUT percentage sign ("%") must be entered.</v>
      </c>
      <c r="H86" s="1385"/>
      <c r="I86" s="1385"/>
      <c r="J86" s="1385"/>
      <c r="K86" s="1385"/>
      <c r="L86" s="1385"/>
      <c r="M86" s="1385"/>
      <c r="N86" s="1385"/>
      <c r="O86" s="428"/>
      <c r="S86" s="110"/>
    </row>
    <row r="87" spans="1:19" ht="13.15" customHeight="1" x14ac:dyDescent="0.2">
      <c r="A87" s="92"/>
      <c r="B87" s="94"/>
      <c r="C87" s="144"/>
      <c r="D87" s="914"/>
      <c r="E87" s="242" t="str">
        <f>Translations!$B$147</f>
        <v>BioC Unit</v>
      </c>
      <c r="F87" s="414"/>
      <c r="G87" s="1380" t="str">
        <f>Translations!$B$2001</f>
        <v>The unit of the biomass fraction is always percent (%).</v>
      </c>
      <c r="H87" s="1380"/>
      <c r="I87" s="1380"/>
      <c r="J87" s="1380"/>
      <c r="K87" s="1380"/>
      <c r="L87" s="1380"/>
      <c r="M87" s="1380"/>
      <c r="N87" s="1380"/>
      <c r="O87" s="428"/>
      <c r="S87" s="110"/>
    </row>
    <row r="88" spans="1:19" ht="12.75" customHeight="1" x14ac:dyDescent="0.2">
      <c r="A88" s="92"/>
      <c r="B88" s="94"/>
      <c r="C88" s="144"/>
      <c r="D88" s="914"/>
      <c r="E88" s="242" t="str">
        <f>Translations!$B$150</f>
        <v>hourly GHG conc. Average</v>
      </c>
      <c r="F88" s="414"/>
      <c r="G88" s="1380" t="str">
        <f>Translations!$B$2022</f>
        <v>The weighted average hourly concentration of the GHG measured.</v>
      </c>
      <c r="H88" s="1380"/>
      <c r="I88" s="1380"/>
      <c r="J88" s="1380"/>
      <c r="K88" s="1380"/>
      <c r="L88" s="1380"/>
      <c r="M88" s="1380"/>
      <c r="N88" s="1380"/>
      <c r="O88" s="428"/>
      <c r="S88" s="110"/>
    </row>
    <row r="89" spans="1:19" ht="13.15" customHeight="1" x14ac:dyDescent="0.2">
      <c r="A89" s="92"/>
      <c r="B89" s="94"/>
      <c r="C89" s="144"/>
      <c r="D89" s="914"/>
      <c r="E89" s="242" t="str">
        <f>Translations!$B$151</f>
        <v>hourly GHG conc. Unit</v>
      </c>
      <c r="F89" s="414"/>
      <c r="G89" s="1380" t="str">
        <f>Translations!$B$2023</f>
        <v>The unit in which the hourly average concentration is to be entered in this table. It is always set to g/Nm³.</v>
      </c>
      <c r="H89" s="1380"/>
      <c r="I89" s="1380"/>
      <c r="J89" s="1380"/>
      <c r="K89" s="1380"/>
      <c r="L89" s="1380"/>
      <c r="M89" s="1380"/>
      <c r="N89" s="1380"/>
      <c r="O89" s="428"/>
      <c r="S89" s="110"/>
    </row>
    <row r="90" spans="1:19" ht="12.75" customHeight="1" x14ac:dyDescent="0.2">
      <c r="A90" s="92"/>
      <c r="B90" s="94"/>
      <c r="C90" s="144"/>
      <c r="D90" s="914"/>
      <c r="E90" s="242" t="str">
        <f>Translations!$B$152</f>
        <v>hours operating</v>
      </c>
      <c r="F90" s="414"/>
      <c r="G90" s="1380" t="str">
        <f>Translations!$B$2024</f>
        <v>The total hours of operation of the continuous emission measurement during the reporting period.</v>
      </c>
      <c r="H90" s="1380"/>
      <c r="I90" s="1380"/>
      <c r="J90" s="1380"/>
      <c r="K90" s="1380"/>
      <c r="L90" s="1380"/>
      <c r="M90" s="1380"/>
      <c r="N90" s="1380"/>
      <c r="O90" s="428"/>
      <c r="S90" s="110"/>
    </row>
    <row r="91" spans="1:19" ht="13.15" customHeight="1" x14ac:dyDescent="0.2">
      <c r="A91" s="92"/>
      <c r="B91" s="94"/>
      <c r="C91" s="144"/>
      <c r="D91" s="914"/>
      <c r="E91" s="242" t="str">
        <f>Translations!$B$153</f>
        <v>hours operating Unit</v>
      </c>
      <c r="F91" s="414"/>
      <c r="G91" s="1380" t="str">
        <f>Translations!$B$2025</f>
        <v>The unit in which the operating hours are to be entered in this table. It is always set to h/period.</v>
      </c>
      <c r="H91" s="1380"/>
      <c r="I91" s="1380"/>
      <c r="J91" s="1380"/>
      <c r="K91" s="1380"/>
      <c r="L91" s="1380"/>
      <c r="M91" s="1380"/>
      <c r="N91" s="1380"/>
      <c r="O91" s="428"/>
      <c r="S91" s="110"/>
    </row>
    <row r="92" spans="1:19" ht="12.75" customHeight="1" x14ac:dyDescent="0.2">
      <c r="A92" s="92"/>
      <c r="B92" s="94"/>
      <c r="C92" s="144"/>
      <c r="D92" s="914"/>
      <c r="E92" s="242" t="str">
        <f>Translations!$B$1959</f>
        <v>Flue gas flow (average)</v>
      </c>
      <c r="F92" s="414"/>
      <c r="G92" s="1380" t="str">
        <f>Translations!$B$408</f>
        <v>The total volume of the flue gas</v>
      </c>
      <c r="H92" s="1380"/>
      <c r="I92" s="1380"/>
      <c r="J92" s="1380"/>
      <c r="K92" s="1380"/>
      <c r="L92" s="1380"/>
      <c r="M92" s="1380"/>
      <c r="N92" s="1380"/>
      <c r="O92" s="428"/>
      <c r="S92" s="110"/>
    </row>
    <row r="93" spans="1:19" ht="25.15" customHeight="1" x14ac:dyDescent="0.2">
      <c r="A93" s="92"/>
      <c r="B93" s="94"/>
      <c r="C93" s="144"/>
      <c r="D93" s="914"/>
      <c r="E93" s="242" t="str">
        <f>Translations!$B$1960</f>
        <v>Flue gas flow (average), Unit</v>
      </c>
      <c r="F93" s="414"/>
      <c r="G93" s="1380" t="str">
        <f>Translations!$B$2026</f>
        <v>The unit in which the flue gas flow is to be entered in this table. It is always set to 1000Nm3/h.</v>
      </c>
      <c r="H93" s="1380"/>
      <c r="I93" s="1380"/>
      <c r="J93" s="1380"/>
      <c r="K93" s="1380"/>
      <c r="L93" s="1380"/>
      <c r="M93" s="1380"/>
      <c r="N93" s="1380"/>
      <c r="O93" s="428"/>
      <c r="S93" s="110"/>
    </row>
    <row r="94" spans="1:19" ht="13.15" customHeight="1" x14ac:dyDescent="0.2">
      <c r="A94" s="92"/>
      <c r="B94" s="94"/>
      <c r="C94" s="144"/>
      <c r="D94" s="914"/>
      <c r="E94" s="242" t="str">
        <f>Translations!$B$158</f>
        <v>Annual amount of GHG</v>
      </c>
      <c r="F94" s="414"/>
      <c r="G94" s="1380" t="str">
        <f>Translations!$B$2027</f>
        <v>The total quantity (mass) of the GHG monitored using CEMS in the reporting period.</v>
      </c>
      <c r="H94" s="1380"/>
      <c r="I94" s="1380"/>
      <c r="J94" s="1380"/>
      <c r="K94" s="1380"/>
      <c r="L94" s="1380"/>
      <c r="M94" s="1380"/>
      <c r="N94" s="1380"/>
      <c r="O94" s="428"/>
      <c r="S94" s="110"/>
    </row>
    <row r="95" spans="1:19" ht="26.45" customHeight="1" x14ac:dyDescent="0.2">
      <c r="A95" s="92"/>
      <c r="B95" s="94"/>
      <c r="C95" s="144"/>
      <c r="D95" s="914"/>
      <c r="E95" s="242" t="str">
        <f>Translations!$B$159</f>
        <v>Annual amount of GHG Unit</v>
      </c>
      <c r="F95" s="414"/>
      <c r="G95" s="1380" t="str">
        <f>Translations!$B$2028</f>
        <v>The unit in which the mass of GHG emitted is calculated in this table. It is always set to tonnes.</v>
      </c>
      <c r="H95" s="1380"/>
      <c r="I95" s="1380"/>
      <c r="J95" s="1380"/>
      <c r="K95" s="1380"/>
      <c r="L95" s="1380"/>
      <c r="M95" s="1380"/>
      <c r="N95" s="1380"/>
      <c r="O95" s="428"/>
      <c r="S95" s="110"/>
    </row>
    <row r="96" spans="1:19" ht="13.15" customHeight="1" x14ac:dyDescent="0.2">
      <c r="A96" s="92"/>
      <c r="B96" s="94"/>
      <c r="C96" s="144"/>
      <c r="D96" s="914"/>
      <c r="E96" s="242" t="str">
        <f>Translations!$B$1961</f>
        <v>GWP (tCO2e/t)</v>
      </c>
      <c r="F96" s="414"/>
      <c r="G96" s="1380" t="str">
        <f>Translations!$B$2029</f>
        <v>The GWP (global warming potential) of the GHG monitored.</v>
      </c>
      <c r="H96" s="1380"/>
      <c r="I96" s="1380"/>
      <c r="J96" s="1380"/>
      <c r="K96" s="1380"/>
      <c r="L96" s="1380"/>
      <c r="M96" s="1380"/>
      <c r="N96" s="1380"/>
      <c r="O96" s="428"/>
      <c r="S96" s="110"/>
    </row>
    <row r="97" spans="1:23" ht="25.9" customHeight="1" x14ac:dyDescent="0.2">
      <c r="A97" s="92"/>
      <c r="B97" s="94"/>
      <c r="C97" s="144"/>
      <c r="D97" s="914"/>
      <c r="E97" s="242" t="str">
        <f>Translations!$B$409</f>
        <v>Energy content</v>
      </c>
      <c r="F97" s="414"/>
      <c r="G97" s="1380" t="str">
        <f>Translations!$B$2030</f>
        <v>The energy content of the fuels or materials entering the production process during the reporting period. In case of CEMS this cannot be automatically determined but needs to be input by the user.</v>
      </c>
      <c r="H97" s="1380"/>
      <c r="I97" s="1380"/>
      <c r="J97" s="1380"/>
      <c r="K97" s="1380"/>
      <c r="L97" s="1380"/>
      <c r="M97" s="1380"/>
      <c r="N97" s="1380"/>
      <c r="O97" s="428"/>
      <c r="S97" s="110"/>
    </row>
    <row r="98" spans="1:23" ht="26.45" customHeight="1" x14ac:dyDescent="0.2">
      <c r="A98" s="92"/>
      <c r="B98" s="94"/>
      <c r="C98" s="144"/>
      <c r="D98" s="914"/>
      <c r="E98" s="799" t="str">
        <f>Translations!$B$2031</f>
        <v>Emissions (tCO2e)</v>
      </c>
      <c r="F98" s="800"/>
      <c r="G98" s="1409" t="str">
        <f>Translations!$B$2004</f>
        <v>The fossil emissions are the necessary basis for determining the embedded emissions of CBAM goods. The results are automatically transferred into sheet C_Emissions&amp;Energy.</v>
      </c>
      <c r="H98" s="1410"/>
      <c r="I98" s="1410"/>
      <c r="J98" s="1410"/>
      <c r="K98" s="1410"/>
      <c r="L98" s="1410"/>
      <c r="M98" s="1410"/>
      <c r="N98" s="1410"/>
      <c r="O98" s="428"/>
      <c r="S98" s="110"/>
    </row>
    <row r="99" spans="1:23" ht="5.0999999999999996" customHeight="1" x14ac:dyDescent="0.2">
      <c r="A99" s="92"/>
      <c r="B99" s="94"/>
      <c r="C99" s="144"/>
      <c r="D99" s="914"/>
      <c r="E99" s="915"/>
      <c r="F99" s="915"/>
      <c r="G99" s="915"/>
      <c r="H99" s="915"/>
      <c r="I99" s="915"/>
      <c r="J99" s="915"/>
      <c r="K99" s="915"/>
      <c r="L99" s="915"/>
      <c r="M99" s="915"/>
      <c r="N99" s="144"/>
      <c r="O99" s="428"/>
      <c r="S99" s="110"/>
    </row>
    <row r="100" spans="1:23" ht="12.75" customHeight="1" x14ac:dyDescent="0.2">
      <c r="A100" s="92"/>
      <c r="B100" s="94"/>
      <c r="C100" s="144"/>
      <c r="D100" s="914"/>
      <c r="E100" s="1391" t="str">
        <f ca="1">HYPERLINK("#"&amp;S100,CONST_LinkFromGuidance)</f>
        <v>Please click on this link if you want to go back to the relevant section for data entry.</v>
      </c>
      <c r="F100" s="1391"/>
      <c r="G100" s="1391"/>
      <c r="H100" s="1391"/>
      <c r="I100" s="1391"/>
      <c r="J100" s="1391"/>
      <c r="K100" s="1391"/>
      <c r="L100" s="1391"/>
      <c r="M100" s="1391"/>
      <c r="N100" s="1391"/>
      <c r="O100" s="428"/>
      <c r="R100" s="91" t="s">
        <v>2836</v>
      </c>
      <c r="S100" s="114" t="str">
        <f ca="1">ADDRESS(17,4,,,B_EmInst!$BD$2)</f>
        <v>B_EmInst!$D$17</v>
      </c>
    </row>
    <row r="101" spans="1:23" ht="12.75" customHeight="1" x14ac:dyDescent="0.2">
      <c r="A101" s="92"/>
      <c r="B101" s="94"/>
      <c r="C101" s="144"/>
      <c r="D101" s="914"/>
      <c r="E101" s="915"/>
      <c r="F101" s="915"/>
      <c r="G101" s="915"/>
      <c r="H101" s="915"/>
      <c r="I101" s="915"/>
      <c r="J101" s="915"/>
      <c r="K101" s="915"/>
      <c r="L101" s="915"/>
      <c r="M101" s="915"/>
      <c r="N101" s="144"/>
      <c r="O101" s="428"/>
      <c r="S101" s="110"/>
    </row>
    <row r="102" spans="1:23" ht="18" customHeight="1" x14ac:dyDescent="0.25">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
      <c r="A103" s="92"/>
      <c r="B103" s="94"/>
      <c r="C103" s="144"/>
      <c r="D103" s="914"/>
      <c r="E103" s="915"/>
      <c r="F103" s="915"/>
      <c r="G103" s="915"/>
      <c r="H103" s="915"/>
      <c r="I103" s="915"/>
      <c r="J103" s="915"/>
      <c r="K103" s="915"/>
      <c r="L103" s="915"/>
      <c r="M103" s="915"/>
      <c r="N103" s="144"/>
      <c r="O103" s="428"/>
      <c r="S103" s="110"/>
    </row>
    <row r="104" spans="1:23" ht="5.0999999999999996" customHeight="1" x14ac:dyDescent="0.2">
      <c r="A104" s="92"/>
      <c r="B104" s="94"/>
      <c r="C104" s="948"/>
      <c r="D104" s="950"/>
      <c r="E104" s="1355"/>
      <c r="F104" s="1356"/>
      <c r="G104" s="1356"/>
      <c r="H104" s="1356"/>
      <c r="I104" s="1356"/>
      <c r="J104" s="1356"/>
      <c r="K104" s="1356"/>
      <c r="L104" s="1356"/>
      <c r="M104" s="1356"/>
      <c r="N104" s="1356"/>
      <c r="O104" s="428"/>
    </row>
    <row r="105" spans="1:23" ht="25.5" customHeight="1" x14ac:dyDescent="0.2">
      <c r="A105" s="92"/>
      <c r="B105" s="94"/>
      <c r="C105" s="948"/>
      <c r="D105" s="950"/>
      <c r="E105" s="1390" t="str">
        <f>Translations!$B$2032</f>
        <v>In sheet "D_Processes" the required data inputs are necessary to calculate the emissions attributed to each production process, based on which the specific embedded emissions of the goods category are calculated in this template.</v>
      </c>
      <c r="F105" s="1390"/>
      <c r="G105" s="1390"/>
      <c r="H105" s="1390"/>
      <c r="I105" s="1390"/>
      <c r="J105" s="1390"/>
      <c r="K105" s="1390"/>
      <c r="L105" s="1390"/>
      <c r="M105" s="1390"/>
      <c r="N105" s="1390"/>
      <c r="O105" s="428"/>
    </row>
    <row r="106" spans="1:23" ht="5.0999999999999996" customHeight="1" x14ac:dyDescent="0.2">
      <c r="A106" s="92"/>
      <c r="B106" s="94"/>
      <c r="C106" s="948"/>
      <c r="D106" s="951"/>
      <c r="E106" s="1390"/>
      <c r="F106" s="1390"/>
      <c r="G106" s="1390"/>
      <c r="H106" s="1390"/>
      <c r="I106" s="1390"/>
      <c r="J106" s="1390"/>
      <c r="K106" s="1390"/>
      <c r="L106" s="1390"/>
      <c r="M106" s="1390"/>
      <c r="N106" s="1390"/>
      <c r="O106" s="428"/>
    </row>
    <row r="107" spans="1:23" ht="5.0999999999999996" customHeight="1" x14ac:dyDescent="0.2">
      <c r="A107" s="92"/>
      <c r="B107" s="94"/>
      <c r="C107" s="144"/>
      <c r="D107" s="914"/>
      <c r="E107" s="915"/>
      <c r="F107" s="915"/>
      <c r="G107" s="915"/>
      <c r="H107" s="915"/>
      <c r="I107" s="915"/>
      <c r="J107" s="915"/>
      <c r="K107" s="915"/>
      <c r="L107" s="915"/>
      <c r="M107" s="915"/>
      <c r="N107" s="144"/>
      <c r="O107" s="428"/>
      <c r="S107" s="110"/>
    </row>
    <row r="108" spans="1:23" ht="12.75" customHeight="1" x14ac:dyDescent="0.2">
      <c r="A108" s="92"/>
      <c r="B108" s="94"/>
      <c r="C108" s="144"/>
      <c r="D108" s="914"/>
      <c r="E108" s="1391" t="str">
        <f ca="1">HYPERLINK("#"&amp;S108,CONST_LinkFromGuidance)</f>
        <v>Please click on this link if you want to go back to the relevant section for data entry.</v>
      </c>
      <c r="F108" s="1391"/>
      <c r="G108" s="1391"/>
      <c r="H108" s="1391"/>
      <c r="I108" s="1391"/>
      <c r="J108" s="1391"/>
      <c r="K108" s="1391"/>
      <c r="L108" s="1391"/>
      <c r="M108" s="1391"/>
      <c r="N108" s="1391"/>
      <c r="O108" s="428"/>
      <c r="R108" s="91" t="s">
        <v>2836</v>
      </c>
      <c r="S108" s="114" t="str">
        <f ca="1">ADDRESS(11,10,,,D_Processes!$U$2)</f>
        <v>D_Processes!$J$11</v>
      </c>
    </row>
    <row r="109" spans="1:23" ht="12.75" customHeight="1" x14ac:dyDescent="0.2">
      <c r="A109" s="92"/>
      <c r="B109" s="94"/>
      <c r="C109" s="144"/>
      <c r="D109" s="914"/>
      <c r="E109" s="915"/>
      <c r="F109" s="915"/>
      <c r="G109" s="915"/>
      <c r="H109" s="915"/>
      <c r="I109" s="915"/>
      <c r="J109" s="915"/>
      <c r="K109" s="915"/>
      <c r="L109" s="915"/>
      <c r="M109" s="915"/>
      <c r="N109" s="144"/>
      <c r="O109" s="428"/>
      <c r="S109" s="110"/>
    </row>
    <row r="110" spans="1:23" ht="25.5" customHeight="1" x14ac:dyDescent="0.2">
      <c r="A110" s="92"/>
      <c r="B110" s="94"/>
      <c r="C110" s="144"/>
      <c r="D110" s="914"/>
      <c r="E110" s="1394" t="str">
        <f>Translations!$B$2033</f>
        <v>General information on each production process</v>
      </c>
      <c r="F110" s="1394"/>
      <c r="G110" s="1394"/>
      <c r="H110" s="1394"/>
      <c r="I110" s="1394"/>
      <c r="J110" s="1394"/>
      <c r="K110" s="1394"/>
      <c r="L110" s="1394"/>
      <c r="M110" s="1394"/>
      <c r="N110" s="1394"/>
      <c r="O110" s="428"/>
      <c r="S110" s="110"/>
    </row>
    <row r="111" spans="1:23" ht="25.5" customHeight="1" x14ac:dyDescent="0.2">
      <c r="A111" s="92"/>
      <c r="B111" s="94"/>
      <c r="C111" s="144"/>
      <c r="D111" s="914"/>
      <c r="E111" s="138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5"/>
      <c r="G111" s="1395"/>
      <c r="H111" s="1395"/>
      <c r="I111" s="1395"/>
      <c r="J111" s="1395"/>
      <c r="K111" s="1395"/>
      <c r="L111" s="1395"/>
      <c r="M111" s="1395"/>
      <c r="N111" s="1395"/>
      <c r="O111" s="428"/>
      <c r="S111" s="110"/>
    </row>
    <row r="112" spans="1:23" ht="25.5" customHeight="1" x14ac:dyDescent="0.2">
      <c r="A112" s="92"/>
      <c r="B112" s="94"/>
      <c r="C112" s="144"/>
      <c r="D112" s="966" t="s">
        <v>2870</v>
      </c>
      <c r="E112" s="519" t="str">
        <f>Translations!$B$415</f>
        <v>Total production</v>
      </c>
      <c r="F112" s="810" t="str">
        <f>Translations!$B$416</f>
        <v>SEE Denominator</v>
      </c>
      <c r="G112" s="1408" t="str">
        <f>Translations!$B$417</f>
        <v>Please provide here the total amount of goods produced in the relevant production process, distinguishing amounts by the relevant production route. This is the denominator for the calculation of the specific embedded emissions.</v>
      </c>
      <c r="H112" s="1408"/>
      <c r="I112" s="1408"/>
      <c r="J112" s="1408"/>
      <c r="K112" s="1408"/>
      <c r="L112" s="1408"/>
      <c r="M112" s="1408"/>
      <c r="N112" s="1408"/>
      <c r="O112" s="428"/>
      <c r="S112" s="110"/>
    </row>
    <row r="113" spans="1:19" ht="25.5" customHeight="1" x14ac:dyDescent="0.2">
      <c r="A113" s="92"/>
      <c r="B113" s="94"/>
      <c r="C113" s="144"/>
      <c r="D113" s="966"/>
      <c r="E113" s="441"/>
      <c r="F113" s="895"/>
      <c r="G113" s="1382" t="str">
        <f>Translations!$B$2035</f>
        <v>Note: According to the current text of Section A.4, point (b) of Annex III of the Implementing act, separate production processes must be defined where separate production routes are used for the same aggregated goods category.</v>
      </c>
      <c r="H113" s="1382"/>
      <c r="I113" s="1382"/>
      <c r="J113" s="1382"/>
      <c r="K113" s="1382"/>
      <c r="L113" s="1382"/>
      <c r="M113" s="1382"/>
      <c r="N113" s="1382"/>
      <c r="O113" s="428"/>
      <c r="S113" s="110"/>
    </row>
    <row r="114" spans="1:19" ht="26.45" customHeight="1" x14ac:dyDescent="0.2">
      <c r="A114" s="92"/>
      <c r="B114" s="94"/>
      <c r="C114" s="144"/>
      <c r="D114" s="966"/>
      <c r="E114" s="441"/>
      <c r="F114" s="416"/>
      <c r="G114" s="1385"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5"/>
      <c r="I114" s="1385"/>
      <c r="J114" s="1385"/>
      <c r="K114" s="1385"/>
      <c r="L114" s="1385"/>
      <c r="M114" s="1385"/>
      <c r="N114" s="1385"/>
      <c r="O114" s="428"/>
      <c r="S114" s="110"/>
    </row>
    <row r="115" spans="1:19" ht="25.5" customHeight="1" x14ac:dyDescent="0.2">
      <c r="A115" s="92"/>
      <c r="B115" s="94"/>
      <c r="C115" s="144"/>
      <c r="D115" s="966" t="s">
        <v>2871</v>
      </c>
      <c r="E115" s="413" t="str">
        <f>Translations!$B$419</f>
        <v>Production for the market</v>
      </c>
      <c r="F115" s="417"/>
      <c r="G115" s="1381" t="str">
        <f>Translations!$B$420</f>
        <v>Please provide here the total amount of goods that are placed on the market (any market, not only the European Union) and not further processed into goods within another production process of the installation.</v>
      </c>
      <c r="H115" s="1381"/>
      <c r="I115" s="1381"/>
      <c r="J115" s="1381"/>
      <c r="K115" s="1381"/>
      <c r="L115" s="1381"/>
      <c r="M115" s="1381"/>
      <c r="N115" s="1381"/>
      <c r="O115" s="428"/>
      <c r="S115" s="110"/>
    </row>
    <row r="116" spans="1:19" ht="26.45" customHeight="1" x14ac:dyDescent="0.2">
      <c r="A116" s="92"/>
      <c r="B116" s="94"/>
      <c r="C116" s="144"/>
      <c r="D116" s="966"/>
      <c r="E116" s="441"/>
      <c r="F116" s="416"/>
      <c r="G116" s="1385" t="str">
        <f>Translations!$B$2037</f>
        <v>Under point ii. the share put on the market is displayed for control purposes. Furthermore point iii. tells you if this is the complete amount (100%) of product. If it is 100%, the next section (consumed within the installation) is not relevant.</v>
      </c>
      <c r="H116" s="1385"/>
      <c r="I116" s="1385"/>
      <c r="J116" s="1385"/>
      <c r="K116" s="1385"/>
      <c r="L116" s="1385"/>
      <c r="M116" s="1385"/>
      <c r="N116" s="1385"/>
      <c r="O116" s="428"/>
      <c r="S116" s="110"/>
    </row>
    <row r="117" spans="1:19" ht="51" customHeight="1" x14ac:dyDescent="0.2">
      <c r="A117" s="92"/>
      <c r="B117" s="94"/>
      <c r="C117" s="144"/>
      <c r="D117" s="966" t="s">
        <v>2872</v>
      </c>
      <c r="E117" s="413" t="str">
        <f>Translations!$B$422</f>
        <v>Consumed in other 'production processes'</v>
      </c>
      <c r="F117" s="414"/>
      <c r="G117" s="1380"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80"/>
      <c r="I117" s="1380"/>
      <c r="J117" s="1380"/>
      <c r="K117" s="1380"/>
      <c r="L117" s="1380"/>
      <c r="M117" s="1380"/>
      <c r="N117" s="1380"/>
      <c r="O117" s="428"/>
      <c r="S117" s="110"/>
    </row>
    <row r="118" spans="1:19" ht="25.5" customHeight="1" x14ac:dyDescent="0.2">
      <c r="A118" s="92"/>
      <c r="B118" s="94"/>
      <c r="C118" s="144"/>
      <c r="D118" s="966" t="s">
        <v>2873</v>
      </c>
      <c r="E118" s="413" t="str">
        <f>Translations!$B$425</f>
        <v>Consumed for non-CBAM goods</v>
      </c>
      <c r="F118" s="417"/>
      <c r="G118" s="1381" t="str">
        <f>Translations!$B$2039</f>
        <v>Please provide here the total amount of goods that are consumed in production processes within the installation which produce goods that are not covered by the scope of the CBAM. Do not leave empty, but enter 0 if applicable.</v>
      </c>
      <c r="H118" s="1381"/>
      <c r="I118" s="1381"/>
      <c r="J118" s="1381"/>
      <c r="K118" s="1381"/>
      <c r="L118" s="1381"/>
      <c r="M118" s="1381"/>
      <c r="N118" s="1381"/>
      <c r="O118" s="428"/>
      <c r="S118" s="110"/>
    </row>
    <row r="119" spans="1:19" ht="12.75" customHeight="1" x14ac:dyDescent="0.2">
      <c r="A119" s="92"/>
      <c r="B119" s="94"/>
      <c r="C119" s="144"/>
      <c r="D119" s="966" t="s">
        <v>2874</v>
      </c>
      <c r="E119" s="413" t="str">
        <f>Translations!$B$428</f>
        <v>Control</v>
      </c>
      <c r="F119" s="414"/>
      <c r="G119" s="1380" t="str">
        <f>Translations!$B$429</f>
        <v>This is an automatic calculation "a-(b+c+d)". Please ensure that this value is zero.</v>
      </c>
      <c r="H119" s="1380"/>
      <c r="I119" s="1380"/>
      <c r="J119" s="1380"/>
      <c r="K119" s="1380"/>
      <c r="L119" s="1380"/>
      <c r="M119" s="1380"/>
      <c r="N119" s="1380"/>
      <c r="O119" s="428"/>
      <c r="S119" s="110"/>
    </row>
    <row r="120" spans="1:19" ht="25.5" customHeight="1" x14ac:dyDescent="0.2">
      <c r="A120" s="92"/>
      <c r="B120" s="94"/>
      <c r="C120" s="144"/>
      <c r="D120" s="914"/>
      <c r="E120" s="1392" t="str">
        <f>Translations!$B$254</f>
        <v>Calculation of the attributed emissions:</v>
      </c>
      <c r="F120" s="1392"/>
      <c r="G120" s="1392"/>
      <c r="H120" s="1392"/>
      <c r="I120" s="1392"/>
      <c r="J120" s="1392"/>
      <c r="K120" s="1392"/>
      <c r="L120" s="1392"/>
      <c r="M120" s="1392"/>
      <c r="N120" s="1392"/>
      <c r="O120" s="428"/>
      <c r="S120" s="110"/>
    </row>
    <row r="121" spans="1:19" ht="25.5" customHeight="1" x14ac:dyDescent="0.2">
      <c r="A121" s="92"/>
      <c r="B121" s="94"/>
      <c r="C121" s="144"/>
      <c r="D121" s="914"/>
      <c r="E121" s="1380" t="str">
        <f>Translations!$B$2040</f>
        <v>This block is used for entering parameters necessary to calculate attributed emissions of the production process in accordance with the Implementing Act, Annex III section F.1.</v>
      </c>
      <c r="F121" s="1393"/>
      <c r="G121" s="1393"/>
      <c r="H121" s="1393"/>
      <c r="I121" s="1393"/>
      <c r="J121" s="1393"/>
      <c r="K121" s="1393"/>
      <c r="L121" s="1393"/>
      <c r="M121" s="1393"/>
      <c r="N121" s="1393"/>
      <c r="O121" s="428"/>
      <c r="S121" s="110"/>
    </row>
    <row r="122" spans="1:19" ht="25.5" customHeight="1" x14ac:dyDescent="0.2">
      <c r="A122" s="92"/>
      <c r="B122" s="94"/>
      <c r="C122" s="144"/>
      <c r="D122" s="966" t="str">
        <f>Translations!$B$430</f>
        <v>f)</v>
      </c>
      <c r="E122" s="1381" t="str">
        <f>Translations!$B$431</f>
        <v>Applicable elements</v>
      </c>
      <c r="F122" s="417"/>
      <c r="G122" s="1381" t="str">
        <f>Translations!$B$432</f>
        <v>Please select here whether measurable heat (e.g. steam) or waste gases are imported to or exported from the relevant production process. The relevance of indirect emissions from electricity are shown automatically here.</v>
      </c>
      <c r="H122" s="1381"/>
      <c r="I122" s="1381"/>
      <c r="J122" s="1381"/>
      <c r="K122" s="1381"/>
      <c r="L122" s="1381"/>
      <c r="M122" s="1381"/>
      <c r="N122" s="1381"/>
      <c r="O122" s="428"/>
      <c r="S122" s="110"/>
    </row>
    <row r="123" spans="1:19" ht="38.25" customHeight="1" x14ac:dyDescent="0.2">
      <c r="A123" s="92"/>
      <c r="B123" s="94"/>
      <c r="C123" s="144"/>
      <c r="D123" s="966"/>
      <c r="E123" s="1385"/>
      <c r="F123" s="416"/>
      <c r="G123" s="1385"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5"/>
      <c r="I123" s="1385"/>
      <c r="J123" s="1385"/>
      <c r="K123" s="1385"/>
      <c r="L123" s="1385"/>
      <c r="M123" s="1385"/>
      <c r="N123" s="1385"/>
      <c r="O123" s="428"/>
      <c r="S123" s="110"/>
    </row>
    <row r="124" spans="1:19" ht="25.5" customHeight="1" x14ac:dyDescent="0.2">
      <c r="A124" s="92"/>
      <c r="B124" s="94"/>
      <c r="C124" s="144"/>
      <c r="D124" s="966" t="str">
        <f>Translations!$B$434</f>
        <v>g)</v>
      </c>
      <c r="E124" s="413" t="str">
        <f>Translations!$B$435</f>
        <v>DirEm*</v>
      </c>
      <c r="F124" s="605"/>
      <c r="G124" s="1380"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80"/>
      <c r="I124" s="1380"/>
      <c r="J124" s="1380"/>
      <c r="K124" s="1380"/>
      <c r="L124" s="1380"/>
      <c r="M124" s="1380"/>
      <c r="N124" s="1380"/>
      <c r="O124" s="428"/>
      <c r="S124" s="110"/>
    </row>
    <row r="125" spans="1:19" ht="38.25" customHeight="1" x14ac:dyDescent="0.2">
      <c r="A125" s="92"/>
      <c r="B125" s="94"/>
      <c r="C125" s="144"/>
      <c r="D125" s="966"/>
      <c r="E125" s="441"/>
      <c r="F125" s="1399" t="str">
        <f>Translations!$B$437</f>
        <v>Avoidance of double counting</v>
      </c>
      <c r="G125" s="1380"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80"/>
      <c r="I125" s="1380"/>
      <c r="J125" s="1380"/>
      <c r="K125" s="1380"/>
      <c r="L125" s="1380"/>
      <c r="M125" s="1380"/>
      <c r="N125" s="1380"/>
      <c r="O125" s="428"/>
      <c r="S125" s="110"/>
    </row>
    <row r="126" spans="1:19" ht="25.15" customHeight="1" x14ac:dyDescent="0.2">
      <c r="A126" s="92"/>
      <c r="B126" s="94"/>
      <c r="C126" s="144"/>
      <c r="D126" s="966"/>
      <c r="E126" s="441"/>
      <c r="F126" s="1399"/>
      <c r="G126" s="1380" t="str">
        <f>Translations!$B$2044</f>
        <v>Measureable heat (e.g. steam): Emissions associated with fuel input into boilers can be either included here as DirEm* or via the 'import of measurable heat' below, but must not be reported twice.</v>
      </c>
      <c r="H126" s="1380"/>
      <c r="I126" s="1380"/>
      <c r="J126" s="1380"/>
      <c r="K126" s="1380"/>
      <c r="L126" s="1380"/>
      <c r="M126" s="1380"/>
      <c r="N126" s="1380"/>
      <c r="O126" s="428"/>
      <c r="S126" s="110"/>
    </row>
    <row r="127" spans="1:19" ht="38.25" customHeight="1" x14ac:dyDescent="0.2">
      <c r="A127" s="92"/>
      <c r="B127" s="94"/>
      <c r="C127" s="144"/>
      <c r="D127" s="966"/>
      <c r="E127" s="441"/>
      <c r="F127" s="1399"/>
      <c r="G127" s="1380"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80"/>
      <c r="I127" s="1380"/>
      <c r="J127" s="1380"/>
      <c r="K127" s="1380"/>
      <c r="L127" s="1380"/>
      <c r="M127" s="1380"/>
      <c r="N127" s="1380"/>
      <c r="O127" s="428"/>
      <c r="S127" s="110"/>
    </row>
    <row r="128" spans="1:19" ht="12.75" customHeight="1" x14ac:dyDescent="0.25">
      <c r="A128" s="92"/>
      <c r="B128" s="94"/>
      <c r="C128" s="144"/>
      <c r="D128" s="967"/>
      <c r="E128" s="491"/>
      <c r="F128" s="1399"/>
      <c r="G128" s="1396" t="str">
        <f ca="1">HYPERLINK("#"&amp;ADDRESS(MATCH($S128,F_Tools!$S:$S,0),3,,,F_Tools!$U$2),CONST_LinkToCHPTool)</f>
        <v>Please click on this link to go to the "CHP Tool for attributing emissions between heat and electricity".</v>
      </c>
      <c r="H128" s="1385"/>
      <c r="I128" s="1385"/>
      <c r="J128" s="1385"/>
      <c r="K128" s="1385"/>
      <c r="L128" s="1385"/>
      <c r="M128" s="1385"/>
      <c r="N128" s="1385"/>
      <c r="O128" s="428"/>
      <c r="R128" s="104" t="s">
        <v>4016</v>
      </c>
      <c r="S128" s="105">
        <v>1</v>
      </c>
    </row>
    <row r="129" spans="1:19" ht="25.5" customHeight="1" x14ac:dyDescent="0.2">
      <c r="A129" s="92"/>
      <c r="B129" s="94"/>
      <c r="C129" s="144"/>
      <c r="D129" s="966"/>
      <c r="E129" s="441"/>
      <c r="F129" s="1399"/>
      <c r="G129" s="1380" t="str">
        <f>Translations!$B$440</f>
        <v>Waste gases: special rules apply here. Emissions from waste gases produced in another production process and consumed in this process should NOT be reported under DirEm*, but under 'Waste gas imported' below.</v>
      </c>
      <c r="H129" s="1380"/>
      <c r="I129" s="1380"/>
      <c r="J129" s="1380"/>
      <c r="K129" s="1380"/>
      <c r="L129" s="1380"/>
      <c r="M129" s="1380"/>
      <c r="N129" s="1380"/>
      <c r="O129" s="428"/>
      <c r="S129" s="110"/>
    </row>
    <row r="130" spans="1:19" ht="63.75" customHeight="1" x14ac:dyDescent="0.2">
      <c r="A130" s="92"/>
      <c r="B130" s="94"/>
      <c r="C130" s="144"/>
      <c r="D130" s="966"/>
      <c r="E130" s="415"/>
      <c r="F130" s="1400"/>
      <c r="G130" s="1380"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80"/>
      <c r="I130" s="1380"/>
      <c r="J130" s="1380"/>
      <c r="K130" s="1380"/>
      <c r="L130" s="1380"/>
      <c r="M130" s="1380"/>
      <c r="N130" s="1380"/>
      <c r="O130" s="428"/>
      <c r="S130" s="110"/>
    </row>
    <row r="131" spans="1:19" ht="38.25" customHeight="1" x14ac:dyDescent="0.2">
      <c r="A131" s="92"/>
      <c r="B131" s="94"/>
      <c r="C131" s="144"/>
      <c r="D131" s="966" t="str">
        <f>Translations!$B$442</f>
        <v>h)</v>
      </c>
      <c r="E131" s="1381" t="str">
        <f>Translations!$B$262</f>
        <v>Import and export of measurable heat</v>
      </c>
      <c r="F131" s="417"/>
      <c r="G131" s="1380"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80"/>
      <c r="I131" s="1380"/>
      <c r="J131" s="1380"/>
      <c r="K131" s="1380"/>
      <c r="L131" s="1380"/>
      <c r="M131" s="1380"/>
      <c r="N131" s="1380"/>
      <c r="O131" s="428"/>
      <c r="S131" s="110"/>
    </row>
    <row r="132" spans="1:19" ht="38.65" customHeight="1" x14ac:dyDescent="0.2">
      <c r="A132" s="92"/>
      <c r="B132" s="94"/>
      <c r="C132" s="144"/>
      <c r="D132" s="966"/>
      <c r="E132" s="1382"/>
      <c r="F132" s="442"/>
      <c r="G132" s="1380"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80"/>
      <c r="I132" s="1380"/>
      <c r="J132" s="1380"/>
      <c r="K132" s="1380"/>
      <c r="L132" s="1380"/>
      <c r="M132" s="1380"/>
      <c r="N132" s="1380"/>
      <c r="O132" s="428"/>
      <c r="S132" s="110"/>
    </row>
    <row r="133" spans="1:19" ht="12.75" customHeight="1" x14ac:dyDescent="0.2">
      <c r="A133" s="92"/>
      <c r="B133" s="94"/>
      <c r="C133" s="144"/>
      <c r="D133" s="966"/>
      <c r="E133" s="1382"/>
      <c r="F133" s="442"/>
      <c r="G133" s="1380" t="str">
        <f>Translations!$B$445</f>
        <v>For the EF of heat produced in a CHP, please see the reference to the "CHP Tool" above.</v>
      </c>
      <c r="H133" s="1380"/>
      <c r="I133" s="1380"/>
      <c r="J133" s="1380"/>
      <c r="K133" s="1380"/>
      <c r="L133" s="1380"/>
      <c r="M133" s="1380"/>
      <c r="N133" s="1380"/>
      <c r="O133" s="428"/>
      <c r="S133" s="110"/>
    </row>
    <row r="134" spans="1:19" ht="38.25" customHeight="1" x14ac:dyDescent="0.2">
      <c r="A134" s="92"/>
      <c r="B134" s="94"/>
      <c r="C134" s="144"/>
      <c r="D134" s="966"/>
      <c r="E134" s="1382"/>
      <c r="F134" s="442"/>
      <c r="G134" s="1380"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80"/>
      <c r="I134" s="1380"/>
      <c r="J134" s="1380"/>
      <c r="K134" s="1380"/>
      <c r="L134" s="1380"/>
      <c r="M134" s="1380"/>
      <c r="N134" s="1380"/>
      <c r="O134" s="428"/>
      <c r="S134" s="110"/>
    </row>
    <row r="135" spans="1:19" ht="12.75" customHeight="1" x14ac:dyDescent="0.2">
      <c r="A135" s="92"/>
      <c r="B135" s="94"/>
      <c r="C135" s="144"/>
      <c r="D135" s="966"/>
      <c r="E135" s="1385"/>
      <c r="F135" s="416"/>
      <c r="G135" s="1380" t="str">
        <f>Translations!$B$447</f>
        <v>Heat recovered and NOT exported but used within the production process shall not be reported under exported heat.</v>
      </c>
      <c r="H135" s="1380"/>
      <c r="I135" s="1380"/>
      <c r="J135" s="1380"/>
      <c r="K135" s="1380"/>
      <c r="L135" s="1380"/>
      <c r="M135" s="1380"/>
      <c r="N135" s="1380"/>
      <c r="O135" s="428"/>
      <c r="S135" s="110"/>
    </row>
    <row r="136" spans="1:19" ht="38.25" customHeight="1" x14ac:dyDescent="0.2">
      <c r="A136" s="92"/>
      <c r="B136" s="94"/>
      <c r="C136" s="144"/>
      <c r="D136" s="966" t="str">
        <f>Translations!$B$448</f>
        <v>i)</v>
      </c>
      <c r="E136" s="1381" t="str">
        <f>Translations!$B$449</f>
        <v>Import and export of waste gases</v>
      </c>
      <c r="F136" s="417"/>
      <c r="G136" s="1380"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80"/>
      <c r="I136" s="1380"/>
      <c r="J136" s="1380"/>
      <c r="K136" s="1380"/>
      <c r="L136" s="1380"/>
      <c r="M136" s="1380"/>
      <c r="N136" s="1380"/>
      <c r="O136" s="428"/>
      <c r="S136" s="110"/>
    </row>
    <row r="137" spans="1:19" ht="25.5" customHeight="1" x14ac:dyDescent="0.2">
      <c r="A137" s="92"/>
      <c r="B137" s="94"/>
      <c r="C137" s="144"/>
      <c r="D137" s="966"/>
      <c r="E137" s="1385"/>
      <c r="F137" s="416"/>
      <c r="G137" s="1380" t="str">
        <f>Translations!$B$2050</f>
        <v>The emission factor of the waste gases will not impact the emissions attributed to this production process, due to the special rules for waste gases. Their input here is therefore optional.</v>
      </c>
      <c r="H137" s="1380"/>
      <c r="I137" s="1380"/>
      <c r="J137" s="1380"/>
      <c r="K137" s="1380"/>
      <c r="L137" s="1380"/>
      <c r="M137" s="1380"/>
      <c r="N137" s="1380"/>
      <c r="O137" s="428"/>
      <c r="S137" s="110"/>
    </row>
    <row r="138" spans="1:19" ht="12.75" customHeight="1" x14ac:dyDescent="0.2">
      <c r="A138" s="92"/>
      <c r="B138" s="94"/>
      <c r="C138" s="144"/>
      <c r="D138" s="966" t="str">
        <f>Translations!$B$452</f>
        <v>j)</v>
      </c>
      <c r="E138" s="1381" t="str">
        <f>Translations!$B$269</f>
        <v>Indirect emissions from electricity consumption</v>
      </c>
      <c r="F138" s="417"/>
      <c r="G138" s="1380" t="str">
        <f>Translations!$B$453</f>
        <v>Please enter the total amount of electricity consumed within the system boundaries of the production process.</v>
      </c>
      <c r="H138" s="1380"/>
      <c r="I138" s="1380"/>
      <c r="J138" s="1380"/>
      <c r="K138" s="1380"/>
      <c r="L138" s="1380"/>
      <c r="M138" s="1380"/>
      <c r="N138" s="1380"/>
      <c r="O138" s="428"/>
      <c r="S138" s="110"/>
    </row>
    <row r="139" spans="1:19" ht="25.5" customHeight="1" x14ac:dyDescent="0.2">
      <c r="A139" s="92"/>
      <c r="B139" s="94"/>
      <c r="C139" s="144"/>
      <c r="D139" s="966"/>
      <c r="E139" s="1382"/>
      <c r="F139" s="442"/>
      <c r="G139" s="1380" t="str">
        <f>Translations!$B$2051</f>
        <v>Please enter the weighted average emission factor of the electricity consumed using one of the methods for determination of this factor listed below (referencing the applicable section in Annex III of the Implementing Act).</v>
      </c>
      <c r="H139" s="1380"/>
      <c r="I139" s="1380"/>
      <c r="J139" s="1380"/>
      <c r="K139" s="1380"/>
      <c r="L139" s="1380"/>
      <c r="M139" s="1380"/>
      <c r="N139" s="1380"/>
      <c r="O139" s="428"/>
      <c r="S139" s="110"/>
    </row>
    <row r="140" spans="1:19" ht="12.75" customHeight="1" x14ac:dyDescent="0.2">
      <c r="A140" s="92"/>
      <c r="B140" s="94"/>
      <c r="C140" s="144"/>
      <c r="D140" s="966"/>
      <c r="E140" s="1382"/>
      <c r="F140" s="416"/>
      <c r="G140" s="1380" t="str">
        <f>Translations!$B$2052</f>
        <v>The EF of the electricity can be determined by the following methods:</v>
      </c>
      <c r="H140" s="1380"/>
      <c r="I140" s="1380"/>
      <c r="J140" s="1380"/>
      <c r="K140" s="1380"/>
      <c r="L140" s="1380"/>
      <c r="M140" s="1380"/>
      <c r="N140" s="1380"/>
      <c r="O140" s="428"/>
      <c r="S140" s="110"/>
    </row>
    <row r="141" spans="1:19" ht="12.75" customHeight="1" x14ac:dyDescent="0.2">
      <c r="A141" s="92"/>
      <c r="B141" s="94"/>
      <c r="C141" s="144"/>
      <c r="D141" s="966"/>
      <c r="E141" s="1382"/>
      <c r="F141" s="416" t="s">
        <v>3925</v>
      </c>
      <c r="G141" s="1385" t="str">
        <f>Translations!$B$2053</f>
        <v>EF based on IEA data, provided by the European Commission</v>
      </c>
      <c r="H141" s="1385"/>
      <c r="I141" s="1385"/>
      <c r="J141" s="1385"/>
      <c r="K141" s="1385"/>
      <c r="L141" s="1385"/>
      <c r="M141" s="1385"/>
      <c r="N141" s="1385"/>
      <c r="O141" s="428"/>
      <c r="S141" s="110"/>
    </row>
    <row r="142" spans="1:19" ht="25.9" customHeight="1" x14ac:dyDescent="0.2">
      <c r="A142" s="92"/>
      <c r="B142" s="94"/>
      <c r="C142" s="144"/>
      <c r="D142" s="966"/>
      <c r="E142" s="1382"/>
      <c r="F142" s="414" t="s">
        <v>3926</v>
      </c>
      <c r="G142" s="1380" t="str">
        <f>Translations!$B$2054</f>
        <v>EF based on other publicly available data representing either the average EF or the CO2 emission factor as in section 4.3 of Annex IV of the CBAM Regulation.</v>
      </c>
      <c r="H142" s="1380"/>
      <c r="I142" s="1380"/>
      <c r="J142" s="1380"/>
      <c r="K142" s="1380"/>
      <c r="L142" s="1380"/>
      <c r="M142" s="1380"/>
      <c r="N142" s="1380"/>
      <c r="O142" s="428"/>
      <c r="S142" s="110"/>
    </row>
    <row r="143" spans="1:19" ht="12.75" customHeight="1" x14ac:dyDescent="0.2">
      <c r="A143" s="92"/>
      <c r="B143" s="94"/>
      <c r="C143" s="144"/>
      <c r="D143" s="966"/>
      <c r="E143" s="1382"/>
      <c r="F143" s="414" t="s">
        <v>3927</v>
      </c>
      <c r="G143" s="1380" t="str">
        <f>Translations!$B$2055</f>
        <v>EF of electricity produced in the installation other than by cogeneration</v>
      </c>
      <c r="H143" s="1380"/>
      <c r="I143" s="1380"/>
      <c r="J143" s="1380"/>
      <c r="K143" s="1380"/>
      <c r="L143" s="1380"/>
      <c r="M143" s="1380"/>
      <c r="N143" s="1380"/>
      <c r="O143" s="428"/>
      <c r="S143" s="110"/>
    </row>
    <row r="144" spans="1:19" ht="12.75" customHeight="1" x14ac:dyDescent="0.2">
      <c r="A144" s="92"/>
      <c r="B144" s="94"/>
      <c r="C144" s="144"/>
      <c r="D144" s="966"/>
      <c r="E144" s="1382"/>
      <c r="F144" s="414" t="s">
        <v>3928</v>
      </c>
      <c r="G144" s="1380" t="str">
        <f>Translations!$B$2056</f>
        <v>EF of electricity produced in the installation by cogeneration</v>
      </c>
      <c r="H144" s="1380"/>
      <c r="I144" s="1380"/>
      <c r="J144" s="1380"/>
      <c r="K144" s="1380"/>
      <c r="L144" s="1380"/>
      <c r="M144" s="1380"/>
      <c r="N144" s="1380"/>
      <c r="O144" s="428"/>
      <c r="S144" s="110"/>
    </row>
    <row r="145" spans="1:23" ht="12.75" customHeight="1" x14ac:dyDescent="0.2">
      <c r="A145" s="92"/>
      <c r="B145" s="94"/>
      <c r="C145" s="144"/>
      <c r="D145" s="966"/>
      <c r="E145" s="1382"/>
      <c r="F145" s="414" t="s">
        <v>3929</v>
      </c>
      <c r="G145" s="1380" t="str">
        <f>Translations!$B$2057</f>
        <v>EF of electricity produced outside the installation (received from a source with a direct technical link)</v>
      </c>
      <c r="H145" s="1380"/>
      <c r="I145" s="1380"/>
      <c r="J145" s="1380"/>
      <c r="K145" s="1380"/>
      <c r="L145" s="1380"/>
      <c r="M145" s="1380"/>
      <c r="N145" s="1380"/>
      <c r="O145" s="428"/>
      <c r="S145" s="110"/>
    </row>
    <row r="146" spans="1:23" ht="12.75" customHeight="1" x14ac:dyDescent="0.2">
      <c r="A146" s="92"/>
      <c r="B146" s="94"/>
      <c r="C146" s="144"/>
      <c r="D146" s="966"/>
      <c r="E146" s="1382"/>
      <c r="F146" s="417" t="s">
        <v>3930</v>
      </c>
      <c r="G146" s="1380" t="str">
        <f>Translations!$B$2058</f>
        <v>EF of electricity produced outside the installation (received from a producer under a power purchase agreement)</v>
      </c>
      <c r="H146" s="1380"/>
      <c r="I146" s="1380"/>
      <c r="J146" s="1380"/>
      <c r="K146" s="1380"/>
      <c r="L146" s="1380"/>
      <c r="M146" s="1380"/>
      <c r="N146" s="1380"/>
      <c r="O146" s="428"/>
      <c r="S146" s="110"/>
    </row>
    <row r="147" spans="1:23" ht="25.5" customHeight="1" x14ac:dyDescent="0.2">
      <c r="A147" s="92"/>
      <c r="B147" s="94"/>
      <c r="C147" s="144"/>
      <c r="D147" s="966"/>
      <c r="E147" s="1385"/>
      <c r="F147" s="417" t="str">
        <f>Translations!$B$460</f>
        <v>Mix</v>
      </c>
      <c r="G147" s="1380" t="str">
        <f>Translations!$B$461</f>
        <v>Where the electricity is not predominantly obtained from one source or the EF determined by more than one of the above sources, the EF is determined as a mix of the methods above.</v>
      </c>
      <c r="H147" s="1380"/>
      <c r="I147" s="1380"/>
      <c r="J147" s="1380"/>
      <c r="K147" s="1380"/>
      <c r="L147" s="1380"/>
      <c r="M147" s="1380"/>
      <c r="N147" s="1380"/>
      <c r="O147" s="428"/>
      <c r="S147" s="110"/>
    </row>
    <row r="148" spans="1:23" ht="38.25" customHeight="1" x14ac:dyDescent="0.2">
      <c r="A148" s="92"/>
      <c r="B148" s="94"/>
      <c r="C148" s="144"/>
      <c r="D148" s="966" t="str">
        <f>Translations!$B$462</f>
        <v>k)</v>
      </c>
      <c r="E148" s="243" t="str">
        <f>Translations!$B$463</f>
        <v>Electricity exported</v>
      </c>
      <c r="F148" s="492"/>
      <c r="G148" s="1387"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7"/>
      <c r="I148" s="1387"/>
      <c r="J148" s="1387"/>
      <c r="K148" s="1387"/>
      <c r="L148" s="1387"/>
      <c r="M148" s="1387"/>
      <c r="N148" s="1387"/>
      <c r="O148" s="428"/>
      <c r="S148" s="110"/>
    </row>
    <row r="149" spans="1:23" ht="5.0999999999999996" customHeight="1" x14ac:dyDescent="0.2">
      <c r="A149" s="92"/>
      <c r="B149" s="94"/>
      <c r="C149" s="144"/>
      <c r="D149" s="914"/>
      <c r="E149" s="915"/>
      <c r="F149" s="915"/>
      <c r="G149" s="915"/>
      <c r="H149" s="915"/>
      <c r="I149" s="915"/>
      <c r="J149" s="915"/>
      <c r="K149" s="915"/>
      <c r="L149" s="915"/>
      <c r="M149" s="915"/>
      <c r="N149" s="144"/>
      <c r="O149" s="428"/>
      <c r="S149" s="110"/>
    </row>
    <row r="150" spans="1:23" ht="12.75" customHeight="1" x14ac:dyDescent="0.2">
      <c r="A150" s="92"/>
      <c r="B150" s="94"/>
      <c r="C150" s="144"/>
      <c r="D150" s="914"/>
      <c r="E150" s="1391" t="str">
        <f ca="1">HYPERLINK("#"&amp;S150,CONST_LinkFromGuidance)</f>
        <v>Please click on this link if you want to go back to the relevant section for data entry.</v>
      </c>
      <c r="F150" s="1391"/>
      <c r="G150" s="1391"/>
      <c r="H150" s="1391"/>
      <c r="I150" s="1391"/>
      <c r="J150" s="1391"/>
      <c r="K150" s="1391"/>
      <c r="L150" s="1391"/>
      <c r="M150" s="1391"/>
      <c r="N150" s="1391"/>
      <c r="O150" s="428"/>
      <c r="R150" s="91" t="s">
        <v>2836</v>
      </c>
      <c r="S150" s="114" t="str">
        <f ca="1">S108</f>
        <v>D_Processes!$J$11</v>
      </c>
    </row>
    <row r="151" spans="1:23" ht="12.75" customHeight="1" x14ac:dyDescent="0.2">
      <c r="A151" s="92"/>
      <c r="B151" s="94"/>
      <c r="C151" s="144"/>
      <c r="D151" s="914"/>
      <c r="E151" s="915"/>
      <c r="F151" s="915"/>
      <c r="G151" s="915"/>
      <c r="H151" s="915"/>
      <c r="I151" s="915"/>
      <c r="J151" s="915"/>
      <c r="K151" s="915"/>
      <c r="L151" s="915"/>
      <c r="M151" s="915"/>
      <c r="N151" s="144"/>
      <c r="O151" s="428"/>
      <c r="S151" s="110"/>
    </row>
    <row r="152" spans="1:23" ht="18" customHeight="1" x14ac:dyDescent="0.25">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
      <c r="A153" s="92"/>
      <c r="B153" s="94"/>
      <c r="C153" s="144"/>
      <c r="D153" s="914"/>
      <c r="E153" s="915"/>
      <c r="F153" s="915"/>
      <c r="G153" s="915"/>
      <c r="H153" s="915"/>
      <c r="I153" s="915"/>
      <c r="J153" s="915"/>
      <c r="K153" s="915"/>
      <c r="L153" s="915"/>
      <c r="M153" s="915"/>
      <c r="N153" s="144"/>
      <c r="O153" s="428"/>
      <c r="S153" s="110"/>
    </row>
    <row r="154" spans="1:23" ht="5.0999999999999996" customHeight="1" x14ac:dyDescent="0.2">
      <c r="A154" s="92"/>
      <c r="B154" s="94"/>
      <c r="C154" s="948"/>
      <c r="D154" s="950"/>
      <c r="E154" s="1355"/>
      <c r="F154" s="1356"/>
      <c r="G154" s="1356"/>
      <c r="H154" s="1356"/>
      <c r="I154" s="1356"/>
      <c r="J154" s="1356"/>
      <c r="K154" s="1356"/>
      <c r="L154" s="1356"/>
      <c r="M154" s="1356"/>
      <c r="N154" s="1356"/>
      <c r="O154" s="428"/>
    </row>
    <row r="155" spans="1:23" ht="25.5" customHeight="1" x14ac:dyDescent="0.2">
      <c r="A155" s="92"/>
      <c r="B155" s="94"/>
      <c r="C155" s="948"/>
      <c r="D155" s="950"/>
      <c r="E155" s="1390"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90"/>
      <c r="G155" s="1390"/>
      <c r="H155" s="1390"/>
      <c r="I155" s="1390"/>
      <c r="J155" s="1390"/>
      <c r="K155" s="1390"/>
      <c r="L155" s="1390"/>
      <c r="M155" s="1390"/>
      <c r="N155" s="1390"/>
      <c r="O155" s="428"/>
    </row>
    <row r="156" spans="1:23" ht="5.0999999999999996" customHeight="1" x14ac:dyDescent="0.2">
      <c r="A156" s="92"/>
      <c r="B156" s="94"/>
      <c r="C156" s="948"/>
      <c r="D156" s="951"/>
      <c r="E156" s="1390"/>
      <c r="F156" s="1390"/>
      <c r="G156" s="1390"/>
      <c r="H156" s="1390"/>
      <c r="I156" s="1390"/>
      <c r="J156" s="1390"/>
      <c r="K156" s="1390"/>
      <c r="L156" s="1390"/>
      <c r="M156" s="1390"/>
      <c r="N156" s="1390"/>
      <c r="O156" s="428"/>
    </row>
    <row r="157" spans="1:23" ht="5.0999999999999996" customHeight="1" x14ac:dyDescent="0.2">
      <c r="A157" s="92"/>
      <c r="B157" s="94"/>
      <c r="C157" s="144"/>
      <c r="D157" s="914"/>
      <c r="E157" s="915"/>
      <c r="F157" s="915"/>
      <c r="G157" s="915"/>
      <c r="H157" s="915"/>
      <c r="I157" s="915"/>
      <c r="J157" s="915"/>
      <c r="K157" s="915"/>
      <c r="L157" s="915"/>
      <c r="M157" s="915"/>
      <c r="N157" s="144"/>
      <c r="O157" s="428"/>
      <c r="S157" s="110"/>
    </row>
    <row r="158" spans="1:23" ht="12.75" customHeight="1" x14ac:dyDescent="0.2">
      <c r="A158" s="92"/>
      <c r="B158" s="94"/>
      <c r="C158" s="144"/>
      <c r="D158" s="914"/>
      <c r="E158" s="1391" t="str">
        <f ca="1">HYPERLINK("#"&amp;S158,CONST_LinkFromGuidance)</f>
        <v>Please click on this link if you want to go back to the relevant section for data entry.</v>
      </c>
      <c r="F158" s="1391"/>
      <c r="G158" s="1391"/>
      <c r="H158" s="1391"/>
      <c r="I158" s="1391"/>
      <c r="J158" s="1391"/>
      <c r="K158" s="1391"/>
      <c r="L158" s="1391"/>
      <c r="M158" s="1391"/>
      <c r="N158" s="1391"/>
      <c r="O158" s="428"/>
      <c r="R158" s="91" t="s">
        <v>2836</v>
      </c>
      <c r="S158" s="114" t="str">
        <f ca="1">ADDRESS(11,4,,,E_PurchPrec!$U$2)</f>
        <v>E_PurchPrec!$D$11</v>
      </c>
    </row>
    <row r="159" spans="1:23" ht="12.75" customHeight="1" x14ac:dyDescent="0.2">
      <c r="A159" s="92"/>
      <c r="B159" s="94"/>
      <c r="C159" s="144"/>
      <c r="D159" s="914"/>
      <c r="E159" s="915"/>
      <c r="F159" s="915"/>
      <c r="G159" s="915"/>
      <c r="H159" s="915"/>
      <c r="I159" s="915"/>
      <c r="J159" s="915"/>
      <c r="K159" s="915"/>
      <c r="L159" s="915"/>
      <c r="M159" s="915"/>
      <c r="N159" s="144"/>
      <c r="O159" s="428"/>
      <c r="S159" s="110"/>
    </row>
    <row r="160" spans="1:23" ht="25.5" customHeight="1" x14ac:dyDescent="0.2">
      <c r="A160" s="92"/>
      <c r="B160" s="94"/>
      <c r="C160" s="144"/>
      <c r="D160" s="914"/>
      <c r="E160" s="1392" t="str">
        <f>Translations!$B$2033</f>
        <v>General information on each production process</v>
      </c>
      <c r="F160" s="1392"/>
      <c r="G160" s="1392"/>
      <c r="H160" s="1392"/>
      <c r="I160" s="1392"/>
      <c r="J160" s="1392"/>
      <c r="K160" s="1392"/>
      <c r="L160" s="1392"/>
      <c r="M160" s="1392"/>
      <c r="N160" s="1392"/>
      <c r="O160" s="428"/>
      <c r="S160" s="110"/>
    </row>
    <row r="161" spans="1:19" ht="25.5" customHeight="1" x14ac:dyDescent="0.2">
      <c r="A161" s="92"/>
      <c r="B161" s="94"/>
      <c r="C161" s="144"/>
      <c r="D161" s="914"/>
      <c r="E161" s="1380"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3"/>
      <c r="G161" s="1393"/>
      <c r="H161" s="1393"/>
      <c r="I161" s="1393"/>
      <c r="J161" s="1393"/>
      <c r="K161" s="1393"/>
      <c r="L161" s="1393"/>
      <c r="M161" s="1393"/>
      <c r="N161" s="1393"/>
      <c r="O161" s="428"/>
      <c r="S161" s="110"/>
    </row>
    <row r="162" spans="1:19" ht="25.5" customHeight="1" x14ac:dyDescent="0.2">
      <c r="A162" s="92"/>
      <c r="B162" s="94"/>
      <c r="C162" s="144"/>
      <c r="D162" s="966" t="s">
        <v>2870</v>
      </c>
      <c r="E162" s="1380" t="str">
        <f>Translations!$B$276</f>
        <v>Total purchased levels:</v>
      </c>
      <c r="F162" s="1270"/>
      <c r="G162" s="1380" t="str">
        <f>Translations!$B$2060</f>
        <v xml:space="preserve">Please provide here the total amount of purchased precursor consumed in the reporting period, distinguishing amounts by the relevant production route by which the precursor was produced, if known. </v>
      </c>
      <c r="H162" s="1380"/>
      <c r="I162" s="1380"/>
      <c r="J162" s="1380"/>
      <c r="K162" s="1380"/>
      <c r="L162" s="1380"/>
      <c r="M162" s="1380"/>
      <c r="N162" s="1380"/>
      <c r="O162" s="428"/>
      <c r="S162" s="110"/>
    </row>
    <row r="163" spans="1:19" ht="25.5" customHeight="1" x14ac:dyDescent="0.2">
      <c r="A163" s="92"/>
      <c r="B163" s="94"/>
      <c r="C163" s="144"/>
      <c r="D163" s="966" t="s">
        <v>2871</v>
      </c>
      <c r="E163" s="1380" t="str">
        <f>Translations!$B$1967</f>
        <v>Consumed in 'production processes' within the installation:</v>
      </c>
      <c r="F163" s="1270"/>
      <c r="G163" s="1380" t="str">
        <f>Translations!$B$2061</f>
        <v>Under this point, please provide information how much of the precursor has been consumed during the reporting period in each production process within the installation.</v>
      </c>
      <c r="H163" s="1380"/>
      <c r="I163" s="1380"/>
      <c r="J163" s="1380"/>
      <c r="K163" s="1380"/>
      <c r="L163" s="1380"/>
      <c r="M163" s="1380"/>
      <c r="N163" s="1380"/>
      <c r="O163" s="428"/>
      <c r="S163" s="110"/>
    </row>
    <row r="164" spans="1:19" ht="25.5" customHeight="1" x14ac:dyDescent="0.2">
      <c r="A164" s="92"/>
      <c r="B164" s="94"/>
      <c r="C164" s="144"/>
      <c r="D164" s="966" t="s">
        <v>2872</v>
      </c>
      <c r="E164" s="1380" t="str">
        <f>Translations!$B$1968</f>
        <v>Consumed for other purposes, e.g. sold or used for non-CBAM goods:</v>
      </c>
      <c r="F164" s="1270"/>
      <c r="G164" s="1380" t="str">
        <f>Translations!$B$2062</f>
        <v>For completeness of data, please enter here the amount of the precursor not used for the production of CBAM goods within the installation. This includes transfer to other installations or sale of the precursor.</v>
      </c>
      <c r="H164" s="1380"/>
      <c r="I164" s="1380"/>
      <c r="J164" s="1380"/>
      <c r="K164" s="1380"/>
      <c r="L164" s="1380"/>
      <c r="M164" s="1380"/>
      <c r="N164" s="1380"/>
      <c r="O164" s="428"/>
      <c r="S164" s="110"/>
    </row>
    <row r="165" spans="1:19" ht="13.15" customHeight="1" x14ac:dyDescent="0.2">
      <c r="A165" s="92"/>
      <c r="B165" s="94"/>
      <c r="C165" s="144"/>
      <c r="D165" s="966" t="s">
        <v>2873</v>
      </c>
      <c r="E165" s="1380" t="str">
        <f>Translations!$B$253</f>
        <v>Control:</v>
      </c>
      <c r="F165" s="1270"/>
      <c r="G165" s="1380" t="str">
        <f>Translations!$B$2063</f>
        <v>This is an automatic calculation "a-(b+c)". Please ensure that this value is zero.</v>
      </c>
      <c r="H165" s="1380"/>
      <c r="I165" s="1380"/>
      <c r="J165" s="1380"/>
      <c r="K165" s="1380"/>
      <c r="L165" s="1380"/>
      <c r="M165" s="1380"/>
      <c r="N165" s="1380"/>
      <c r="O165" s="428"/>
      <c r="S165" s="110"/>
    </row>
    <row r="166" spans="1:19" ht="13.15" customHeight="1" x14ac:dyDescent="0.2">
      <c r="A166" s="92"/>
      <c r="B166" s="94"/>
      <c r="C166" s="144"/>
      <c r="D166" s="966"/>
      <c r="E166" s="1380"/>
      <c r="F166" s="1270"/>
      <c r="G166" s="1380"/>
      <c r="H166" s="1380"/>
      <c r="I166" s="1380"/>
      <c r="J166" s="1380"/>
      <c r="K166" s="1380"/>
      <c r="L166" s="1380"/>
      <c r="M166" s="1380"/>
      <c r="N166" s="1380"/>
      <c r="O166" s="428"/>
      <c r="S166" s="110"/>
    </row>
    <row r="167" spans="1:19" ht="25.5" customHeight="1" x14ac:dyDescent="0.2">
      <c r="A167" s="92"/>
      <c r="B167" s="94"/>
      <c r="C167" s="144"/>
      <c r="D167" s="966" t="s">
        <v>2874</v>
      </c>
      <c r="E167" s="1381" t="str">
        <f>Translations!$B$280</f>
        <v>Emissions embedded in this purchased precursor</v>
      </c>
      <c r="F167" s="1388"/>
      <c r="G167" s="1381" t="str">
        <f>Translations!$B$2064</f>
        <v>Please enter here the values obtained from the supplier of the precursor, and the data source given by the supplier.</v>
      </c>
      <c r="H167" s="1381"/>
      <c r="I167" s="1381"/>
      <c r="J167" s="1381"/>
      <c r="K167" s="1381"/>
      <c r="L167" s="1381"/>
      <c r="M167" s="1381"/>
      <c r="N167" s="1381"/>
      <c r="O167" s="428"/>
      <c r="S167" s="110"/>
    </row>
    <row r="168" spans="1:19" ht="25.5" customHeight="1" x14ac:dyDescent="0.2">
      <c r="A168" s="92"/>
      <c r="B168" s="94"/>
      <c r="C168" s="144"/>
      <c r="D168" s="966"/>
      <c r="E168" s="1106"/>
      <c r="F168" s="811"/>
      <c r="G168" s="1382" t="str">
        <f>Translations!$B$2065</f>
        <v>As information source you may choose whether the producer has determined (measured) the data, or whether the default value provided by the European Commission was used.</v>
      </c>
      <c r="H168" s="1160"/>
      <c r="I168" s="1160"/>
      <c r="J168" s="1160"/>
      <c r="K168" s="1160"/>
      <c r="L168" s="1160"/>
      <c r="M168" s="1160"/>
      <c r="N168" s="1160"/>
      <c r="O168" s="428"/>
      <c r="S168" s="110"/>
    </row>
    <row r="169" spans="1:19" ht="25.5" customHeight="1" x14ac:dyDescent="0.2">
      <c r="A169" s="92"/>
      <c r="B169" s="94"/>
      <c r="C169" s="144"/>
      <c r="D169" s="966"/>
      <c r="E169" s="1107"/>
      <c r="F169" s="1108"/>
      <c r="G169" s="1385" t="str">
        <f>Translations!$B$283</f>
        <v>In order to obtain these data and information, you may want to ask your supplier to fill in an empty copy of this communication template.</v>
      </c>
      <c r="H169" s="1384"/>
      <c r="I169" s="1384"/>
      <c r="J169" s="1384"/>
      <c r="K169" s="1384"/>
      <c r="L169" s="1384"/>
      <c r="M169" s="1384"/>
      <c r="N169" s="1384"/>
      <c r="O169" s="428"/>
      <c r="S169" s="110"/>
    </row>
    <row r="170" spans="1:19" ht="39.6" customHeight="1" x14ac:dyDescent="0.2">
      <c r="A170" s="92"/>
      <c r="B170" s="94"/>
      <c r="C170" s="144"/>
      <c r="D170" s="968" t="s">
        <v>41</v>
      </c>
      <c r="E170" s="1380" t="str">
        <f>Translations!$B$1969</f>
        <v>Specific embedded direct emissions (SEE (direct))</v>
      </c>
      <c r="F170" s="1383"/>
      <c r="G170" s="1380"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80"/>
      <c r="I170" s="1380"/>
      <c r="J170" s="1380"/>
      <c r="K170" s="1380"/>
      <c r="L170" s="1380"/>
      <c r="M170" s="1380"/>
      <c r="N170" s="1380"/>
      <c r="O170" s="428"/>
      <c r="S170" s="110"/>
    </row>
    <row r="171" spans="1:19" ht="25.5" customHeight="1" x14ac:dyDescent="0.2">
      <c r="A171" s="92"/>
      <c r="B171" s="94"/>
      <c r="C171" s="144"/>
      <c r="D171" s="968" t="s">
        <v>42</v>
      </c>
      <c r="E171" s="1380" t="str">
        <f>Translations!$B$1970</f>
        <v>Specific electricity consumption (for SEE (indirect))</v>
      </c>
      <c r="F171" s="1383"/>
      <c r="G171" s="1380" t="str">
        <f>Translations!$B$2067</f>
        <v>Please enter the value for the electricity consumption per tonne of precursor. If obtained from the supplier, use the most recent available data.</v>
      </c>
      <c r="H171" s="1380"/>
      <c r="I171" s="1380"/>
      <c r="J171" s="1380"/>
      <c r="K171" s="1380"/>
      <c r="L171" s="1380"/>
      <c r="M171" s="1380"/>
      <c r="N171" s="1380"/>
      <c r="O171" s="428"/>
      <c r="S171" s="110"/>
    </row>
    <row r="172" spans="1:19" ht="26.45" customHeight="1" x14ac:dyDescent="0.2">
      <c r="A172" s="92"/>
      <c r="B172" s="94"/>
      <c r="C172" s="144"/>
      <c r="D172" s="968" t="s">
        <v>43</v>
      </c>
      <c r="E172" s="1380" t="str">
        <f>Translations!$B$1971</f>
        <v>Electricity emission factor (for SEE (indirect))</v>
      </c>
      <c r="F172" s="1383"/>
      <c r="G172" s="1380" t="str">
        <f>Translations!$B$2068</f>
        <v>Please enter the applicable emission factor (EF) for electricity used for the production of the precursor. The following options can be chosen as data source:</v>
      </c>
      <c r="H172" s="1380"/>
      <c r="I172" s="1380"/>
      <c r="J172" s="1380"/>
      <c r="K172" s="1380"/>
      <c r="L172" s="1380"/>
      <c r="M172" s="1380"/>
      <c r="N172" s="1380"/>
      <c r="O172" s="428"/>
      <c r="S172" s="110"/>
    </row>
    <row r="173" spans="1:19" ht="12.75" customHeight="1" x14ac:dyDescent="0.2">
      <c r="A173" s="92"/>
      <c r="B173" s="94"/>
      <c r="C173" s="144"/>
      <c r="D173" s="966"/>
      <c r="E173" s="1105"/>
      <c r="F173" s="416" t="s">
        <v>3925</v>
      </c>
      <c r="G173" s="1385" t="str">
        <f>Translations!$B$2053</f>
        <v>EF based on IEA data, provided by the European Commission</v>
      </c>
      <c r="H173" s="1385"/>
      <c r="I173" s="1385"/>
      <c r="J173" s="1385"/>
      <c r="K173" s="1385"/>
      <c r="L173" s="1385"/>
      <c r="M173" s="1385"/>
      <c r="N173" s="1385"/>
      <c r="O173" s="428"/>
      <c r="S173" s="110"/>
    </row>
    <row r="174" spans="1:19" ht="25.9" customHeight="1" x14ac:dyDescent="0.2">
      <c r="A174" s="92"/>
      <c r="B174" s="94"/>
      <c r="C174" s="144"/>
      <c r="D174" s="966"/>
      <c r="E174" s="1105"/>
      <c r="F174" s="414" t="s">
        <v>3926</v>
      </c>
      <c r="G174" s="1380" t="str">
        <f>Translations!$B$2054</f>
        <v>EF based on other publicly available data representing either the average EF or the CO2 emission factor as in section 4.3 of Annex IV of the CBAM Regulation.</v>
      </c>
      <c r="H174" s="1380"/>
      <c r="I174" s="1380"/>
      <c r="J174" s="1380"/>
      <c r="K174" s="1380"/>
      <c r="L174" s="1380"/>
      <c r="M174" s="1380"/>
      <c r="N174" s="1380"/>
      <c r="O174" s="428"/>
      <c r="S174" s="110"/>
    </row>
    <row r="175" spans="1:19" ht="12.75" customHeight="1" x14ac:dyDescent="0.2">
      <c r="A175" s="92"/>
      <c r="B175" s="94"/>
      <c r="C175" s="144"/>
      <c r="D175" s="966"/>
      <c r="E175" s="1105"/>
      <c r="F175" s="414" t="s">
        <v>3927</v>
      </c>
      <c r="G175" s="1380" t="str">
        <f>Translations!$B$2055</f>
        <v>EF of electricity produced in the installation other than by cogeneration</v>
      </c>
      <c r="H175" s="1380"/>
      <c r="I175" s="1380"/>
      <c r="J175" s="1380"/>
      <c r="K175" s="1380"/>
      <c r="L175" s="1380"/>
      <c r="M175" s="1380"/>
      <c r="N175" s="1380"/>
      <c r="O175" s="428"/>
      <c r="S175" s="110"/>
    </row>
    <row r="176" spans="1:19" ht="12.75" customHeight="1" x14ac:dyDescent="0.2">
      <c r="A176" s="92"/>
      <c r="B176" s="94"/>
      <c r="C176" s="144"/>
      <c r="D176" s="966"/>
      <c r="E176" s="1105"/>
      <c r="F176" s="414" t="s">
        <v>3928</v>
      </c>
      <c r="G176" s="1380" t="str">
        <f>Translations!$B$2056</f>
        <v>EF of electricity produced in the installation by cogeneration</v>
      </c>
      <c r="H176" s="1380"/>
      <c r="I176" s="1380"/>
      <c r="J176" s="1380"/>
      <c r="K176" s="1380"/>
      <c r="L176" s="1380"/>
      <c r="M176" s="1380"/>
      <c r="N176" s="1380"/>
      <c r="O176" s="428"/>
      <c r="S176" s="110"/>
    </row>
    <row r="177" spans="1:23" ht="12.75" customHeight="1" x14ac:dyDescent="0.2">
      <c r="A177" s="92"/>
      <c r="B177" s="94"/>
      <c r="C177" s="144"/>
      <c r="D177" s="966"/>
      <c r="E177" s="1105"/>
      <c r="F177" s="414" t="s">
        <v>3929</v>
      </c>
      <c r="G177" s="1380" t="str">
        <f>Translations!$B$2057</f>
        <v>EF of electricity produced outside the installation (received from a source with a direct technical link)</v>
      </c>
      <c r="H177" s="1380"/>
      <c r="I177" s="1380"/>
      <c r="J177" s="1380"/>
      <c r="K177" s="1380"/>
      <c r="L177" s="1380"/>
      <c r="M177" s="1380"/>
      <c r="N177" s="1380"/>
      <c r="O177" s="428"/>
      <c r="S177" s="110"/>
    </row>
    <row r="178" spans="1:23" ht="12.75" customHeight="1" x14ac:dyDescent="0.2">
      <c r="A178" s="92"/>
      <c r="B178" s="94"/>
      <c r="C178" s="144"/>
      <c r="D178" s="966"/>
      <c r="E178" s="1105"/>
      <c r="F178" s="417" t="s">
        <v>3930</v>
      </c>
      <c r="G178" s="1380" t="str">
        <f>Translations!$B$2058</f>
        <v>EF of electricity produced outside the installation (received from a producer under a power purchase agreement)</v>
      </c>
      <c r="H178" s="1380"/>
      <c r="I178" s="1380"/>
      <c r="J178" s="1380"/>
      <c r="K178" s="1380"/>
      <c r="L178" s="1380"/>
      <c r="M178" s="1380"/>
      <c r="N178" s="1380"/>
      <c r="O178" s="428"/>
      <c r="S178" s="110"/>
    </row>
    <row r="179" spans="1:23" ht="25.5" customHeight="1" x14ac:dyDescent="0.2">
      <c r="A179" s="92"/>
      <c r="B179" s="94"/>
      <c r="C179" s="144"/>
      <c r="D179" s="966"/>
      <c r="E179" s="1105"/>
      <c r="F179" s="417" t="str">
        <f>Translations!$B$460</f>
        <v>Mix</v>
      </c>
      <c r="G179" s="1380" t="str">
        <f>Translations!$B$461</f>
        <v>Where the electricity is not predominantly obtained from one source or the EF determined by more than one of the above sources, the EF is determined as a mix of the methods above.</v>
      </c>
      <c r="H179" s="1380"/>
      <c r="I179" s="1380"/>
      <c r="J179" s="1380"/>
      <c r="K179" s="1380"/>
      <c r="L179" s="1380"/>
      <c r="M179" s="1380"/>
      <c r="N179" s="1380"/>
      <c r="O179" s="428"/>
      <c r="S179" s="110"/>
    </row>
    <row r="180" spans="1:23" ht="25.5" customHeight="1" x14ac:dyDescent="0.2">
      <c r="A180" s="92"/>
      <c r="B180" s="94"/>
      <c r="C180" s="144"/>
      <c r="D180" s="968" t="s">
        <v>44</v>
      </c>
      <c r="E180" s="1380" t="str">
        <f>Translations!$B$1972</f>
        <v>Specific embedded indirect emissions (SEE (indirect))</v>
      </c>
      <c r="F180" s="1383"/>
      <c r="G180" s="1380" t="str">
        <f>Translations!$B$2069</f>
        <v>The specific embedded indirect emissions are calculated by the template as electricity consumed times the emission factor.</v>
      </c>
      <c r="H180" s="1380"/>
      <c r="I180" s="1380"/>
      <c r="J180" s="1380"/>
      <c r="K180" s="1380"/>
      <c r="L180" s="1380"/>
      <c r="M180" s="1380"/>
      <c r="N180" s="1380"/>
      <c r="O180" s="428"/>
      <c r="S180" s="110"/>
    </row>
    <row r="181" spans="1:23" ht="25.5" customHeight="1" x14ac:dyDescent="0.2">
      <c r="A181" s="92"/>
      <c r="B181" s="94"/>
      <c r="C181" s="144"/>
      <c r="D181" s="968" t="s">
        <v>45</v>
      </c>
      <c r="E181" s="1387" t="str">
        <f>Translations!$B$1858</f>
        <v>Justification for use of default values (if relevant):</v>
      </c>
      <c r="F181" s="1389"/>
      <c r="G181" s="1387" t="str">
        <f>Translations!$B$2070</f>
        <v>If you used default values for at least one parameter, you have to provide a justification for the use of the default value. Please select one from the drop-down list.</v>
      </c>
      <c r="H181" s="1387"/>
      <c r="I181" s="1387"/>
      <c r="J181" s="1387"/>
      <c r="K181" s="1387"/>
      <c r="L181" s="1387"/>
      <c r="M181" s="1387"/>
      <c r="N181" s="1387"/>
      <c r="O181" s="428"/>
      <c r="S181" s="110"/>
    </row>
    <row r="182" spans="1:23" ht="25.5" customHeight="1" x14ac:dyDescent="0.2">
      <c r="A182" s="92"/>
      <c r="B182" s="94"/>
      <c r="C182" s="144"/>
      <c r="D182" s="914"/>
      <c r="E182" s="1373" t="str">
        <f>Translations!$B$2119</f>
        <v>Remark on how to enter default values for indirect embedded emissions</v>
      </c>
      <c r="F182" s="1373"/>
      <c r="G182" s="1373"/>
      <c r="H182" s="1373"/>
      <c r="I182" s="1373"/>
      <c r="J182" s="1373"/>
      <c r="K182" s="1373"/>
      <c r="L182" s="1373"/>
      <c r="M182" s="1373"/>
      <c r="N182" s="1373"/>
      <c r="O182" s="428"/>
      <c r="S182" s="110"/>
    </row>
    <row r="183" spans="1:23" ht="25.5" customHeight="1" x14ac:dyDescent="0.2">
      <c r="A183" s="92"/>
      <c r="B183" s="94"/>
      <c r="C183" s="144"/>
      <c r="D183" s="914"/>
      <c r="E183" s="1376"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7"/>
      <c r="G183" s="1377"/>
      <c r="H183" s="1377"/>
      <c r="I183" s="1377"/>
      <c r="J183" s="1377"/>
      <c r="K183" s="1377"/>
      <c r="L183" s="1377"/>
      <c r="M183" s="1377"/>
      <c r="N183" s="1377"/>
      <c r="O183" s="428"/>
      <c r="S183" s="110"/>
    </row>
    <row r="184" spans="1:23" ht="13.15" customHeight="1" x14ac:dyDescent="0.2">
      <c r="A184" s="92"/>
      <c r="B184" s="94"/>
      <c r="C184" s="144"/>
      <c r="D184" s="914"/>
      <c r="E184" s="1378" t="str">
        <f>Translations!$B$2121</f>
        <v xml:space="preserve">First determine the applicable emission factor for electricity in the country of origin of the purchased precursor (options in accordance with point iii. above). </v>
      </c>
      <c r="F184" s="1379"/>
      <c r="G184" s="1379"/>
      <c r="H184" s="1379"/>
      <c r="I184" s="1379"/>
      <c r="J184" s="1379"/>
      <c r="K184" s="1379"/>
      <c r="L184" s="1379"/>
      <c r="M184" s="1379"/>
      <c r="N184" s="1379"/>
      <c r="O184" s="428"/>
      <c r="S184" s="110"/>
    </row>
    <row r="185" spans="1:23" ht="13.15" customHeight="1" x14ac:dyDescent="0.2">
      <c r="A185" s="92"/>
      <c r="B185" s="94"/>
      <c r="C185" s="144"/>
      <c r="D185" s="914"/>
      <c r="E185" s="1378" t="str">
        <f>Translations!$B$2122</f>
        <v>Secondly, divide the default value for the indirect specific embedded emissions by that emission factor. The result is the specific electricity consumption that is to be entered in field ii.</v>
      </c>
      <c r="F185" s="1379"/>
      <c r="G185" s="1379"/>
      <c r="H185" s="1379"/>
      <c r="I185" s="1379"/>
      <c r="J185" s="1379"/>
      <c r="K185" s="1379"/>
      <c r="L185" s="1379"/>
      <c r="M185" s="1379"/>
      <c r="N185" s="1379"/>
      <c r="O185" s="428"/>
      <c r="S185" s="110"/>
    </row>
    <row r="186" spans="1:23" ht="13.15" customHeight="1" x14ac:dyDescent="0.2">
      <c r="A186" s="92"/>
      <c r="B186" s="94"/>
      <c r="C186" s="144"/>
      <c r="D186" s="914"/>
      <c r="E186" s="1378" t="str">
        <f>Translations!$B$2123</f>
        <v>Enter the emission factor determined in the first step in field iii.</v>
      </c>
      <c r="F186" s="1379"/>
      <c r="G186" s="1379"/>
      <c r="H186" s="1379"/>
      <c r="I186" s="1379"/>
      <c r="J186" s="1379"/>
      <c r="K186" s="1379"/>
      <c r="L186" s="1379"/>
      <c r="M186" s="1379"/>
      <c r="N186" s="1379"/>
      <c r="O186" s="428"/>
      <c r="S186" s="110"/>
    </row>
    <row r="187" spans="1:23" ht="25.5" customHeight="1" x14ac:dyDescent="0.2">
      <c r="A187" s="92"/>
      <c r="B187" s="94"/>
      <c r="C187" s="144"/>
      <c r="D187" s="914"/>
      <c r="E187" s="1374"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5"/>
      <c r="G187" s="1375"/>
      <c r="H187" s="1375"/>
      <c r="I187" s="1375"/>
      <c r="J187" s="1375"/>
      <c r="K187" s="1375"/>
      <c r="L187" s="1375"/>
      <c r="M187" s="1375"/>
      <c r="N187" s="1375"/>
      <c r="O187" s="428"/>
      <c r="S187" s="110"/>
    </row>
    <row r="188" spans="1:23" ht="12.75" customHeight="1" x14ac:dyDescent="0.2">
      <c r="A188" s="92"/>
      <c r="B188" s="94"/>
      <c r="C188" s="144"/>
      <c r="D188" s="914"/>
      <c r="E188" s="915"/>
      <c r="F188" s="915"/>
      <c r="G188" s="915"/>
      <c r="H188" s="915"/>
      <c r="I188" s="915"/>
      <c r="J188" s="915"/>
      <c r="K188" s="915"/>
      <c r="L188" s="915"/>
      <c r="M188" s="915"/>
      <c r="N188" s="144"/>
      <c r="O188" s="428"/>
      <c r="S188" s="110"/>
    </row>
    <row r="189" spans="1:23" ht="18" customHeight="1" x14ac:dyDescent="0.25">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
      <c r="A190" s="92"/>
      <c r="B190" s="94"/>
      <c r="C190" s="144"/>
      <c r="D190" s="914"/>
      <c r="E190" s="915"/>
      <c r="F190" s="915"/>
      <c r="G190" s="915"/>
      <c r="H190" s="915"/>
      <c r="I190" s="915"/>
      <c r="J190" s="915"/>
      <c r="K190" s="915"/>
      <c r="L190" s="915"/>
      <c r="M190" s="915"/>
      <c r="N190" s="144"/>
      <c r="O190" s="428"/>
      <c r="S190" s="110"/>
    </row>
    <row r="191" spans="1:23" ht="5.0999999999999996" customHeight="1" x14ac:dyDescent="0.2">
      <c r="A191" s="92"/>
      <c r="B191" s="94"/>
      <c r="C191" s="144"/>
      <c r="D191" s="969"/>
      <c r="E191" s="970"/>
      <c r="F191" s="970"/>
      <c r="G191" s="970"/>
      <c r="H191" s="970"/>
      <c r="I191" s="970"/>
      <c r="J191" s="970"/>
      <c r="K191" s="970"/>
      <c r="L191" s="970"/>
      <c r="M191" s="970"/>
      <c r="N191" s="913"/>
      <c r="O191" s="428"/>
      <c r="S191" s="110"/>
    </row>
    <row r="192" spans="1:23" ht="13.15" customHeight="1" x14ac:dyDescent="0.2">
      <c r="A192" s="92"/>
      <c r="B192" s="94"/>
      <c r="C192" s="948"/>
      <c r="D192" s="950"/>
      <c r="E192" s="1390" t="str">
        <f>Translations!$B$466</f>
        <v>Please find below the detailed guidance on how to complete the sheet "Summary_Products".</v>
      </c>
      <c r="F192" s="1390"/>
      <c r="G192" s="1390"/>
      <c r="H192" s="1390"/>
      <c r="I192" s="1390"/>
      <c r="J192" s="1390"/>
      <c r="K192" s="1390"/>
      <c r="L192" s="1390"/>
      <c r="M192" s="1390"/>
      <c r="N192" s="1390"/>
      <c r="O192" s="428"/>
    </row>
    <row r="193" spans="1:19" ht="25.5" customHeight="1" x14ac:dyDescent="0.2">
      <c r="A193" s="92"/>
      <c r="B193" s="94"/>
      <c r="C193" s="948"/>
      <c r="D193" s="950"/>
      <c r="E193" s="1397" t="str">
        <f>Translations!$B$467</f>
        <v>Sheet "Summary_Products" will be crucial for the communication with the 'reporting declarant' as it contains the main information required in order to correctly fill in the 'CBAM report' for importing the goods into the European Union.</v>
      </c>
      <c r="F193" s="1397"/>
      <c r="G193" s="1397"/>
      <c r="H193" s="1397"/>
      <c r="I193" s="1397"/>
      <c r="J193" s="1397"/>
      <c r="K193" s="1397"/>
      <c r="L193" s="1397"/>
      <c r="M193" s="1397"/>
      <c r="N193" s="1397"/>
      <c r="O193" s="428"/>
    </row>
    <row r="194" spans="1:19" ht="25.5" customHeight="1" x14ac:dyDescent="0.2">
      <c r="A194" s="92"/>
      <c r="B194" s="94"/>
      <c r="C194" s="948"/>
      <c r="D194" s="950"/>
      <c r="E194" s="1390" t="str">
        <f>Translations!$B$2071</f>
        <v>Information should be provided for each type of good imported into the EU. The type of goods should be listed as disaggregated as possible, i.e. splitting type of goods by their CN codes using as many digits as possible.</v>
      </c>
      <c r="F194" s="1390"/>
      <c r="G194" s="1390"/>
      <c r="H194" s="1390"/>
      <c r="I194" s="1390"/>
      <c r="J194" s="1390"/>
      <c r="K194" s="1390"/>
      <c r="L194" s="1390"/>
      <c r="M194" s="1390"/>
      <c r="N194" s="1390"/>
      <c r="O194" s="428"/>
    </row>
    <row r="195" spans="1:19" ht="13.15" customHeight="1" x14ac:dyDescent="0.2">
      <c r="A195" s="92"/>
      <c r="B195" s="94"/>
      <c r="C195" s="948"/>
      <c r="D195" s="950"/>
      <c r="E195" s="1397" t="str">
        <f>Translations!$B$469</f>
        <v>All information provided (specific embedded emissions, carbon price due, etc.) shall relate to the same reference period as entered in sheet A, section 1.</v>
      </c>
      <c r="F195" s="1397"/>
      <c r="G195" s="1397"/>
      <c r="H195" s="1397"/>
      <c r="I195" s="1397"/>
      <c r="J195" s="1397"/>
      <c r="K195" s="1397"/>
      <c r="L195" s="1397"/>
      <c r="M195" s="1397"/>
      <c r="N195" s="1397"/>
      <c r="O195" s="428"/>
    </row>
    <row r="196" spans="1:19" ht="13.15" customHeight="1" x14ac:dyDescent="0.2">
      <c r="A196" s="92"/>
      <c r="B196" s="94"/>
      <c r="C196" s="948"/>
      <c r="D196" s="950"/>
      <c r="E196" s="1390" t="str">
        <f>Translations!$B$469</f>
        <v>All information provided (specific embedded emissions, carbon price due, etc.) shall relate to the same reference period as entered in sheet A, section 1.</v>
      </c>
      <c r="F196" s="1390"/>
      <c r="G196" s="1390"/>
      <c r="H196" s="1390"/>
      <c r="I196" s="1390"/>
      <c r="J196" s="1390"/>
      <c r="K196" s="1390"/>
      <c r="L196" s="1390"/>
      <c r="M196" s="1390"/>
      <c r="N196" s="1390"/>
      <c r="O196" s="428"/>
    </row>
    <row r="197" spans="1:19" ht="5.0999999999999996" customHeight="1" x14ac:dyDescent="0.2">
      <c r="A197" s="92"/>
      <c r="B197" s="94"/>
      <c r="C197" s="144"/>
      <c r="D197" s="969"/>
      <c r="E197" s="970"/>
      <c r="F197" s="970"/>
      <c r="G197" s="970"/>
      <c r="H197" s="970"/>
      <c r="I197" s="970"/>
      <c r="J197" s="970"/>
      <c r="K197" s="970"/>
      <c r="L197" s="970"/>
      <c r="M197" s="970"/>
      <c r="N197" s="913"/>
      <c r="O197" s="428"/>
      <c r="S197" s="110"/>
    </row>
    <row r="198" spans="1:19" ht="5.0999999999999996" customHeight="1" x14ac:dyDescent="0.2">
      <c r="A198" s="92"/>
      <c r="B198" s="94"/>
      <c r="C198" s="144"/>
      <c r="D198" s="914"/>
      <c r="E198" s="915"/>
      <c r="F198" s="915"/>
      <c r="G198" s="915"/>
      <c r="H198" s="915"/>
      <c r="I198" s="915"/>
      <c r="J198" s="915"/>
      <c r="K198" s="915"/>
      <c r="L198" s="915"/>
      <c r="M198" s="915"/>
      <c r="N198" s="144"/>
      <c r="O198" s="428"/>
      <c r="S198" s="110"/>
    </row>
    <row r="199" spans="1:19" ht="12.75" customHeight="1" x14ac:dyDescent="0.2">
      <c r="A199" s="92"/>
      <c r="B199" s="94"/>
      <c r="C199" s="144"/>
      <c r="D199" s="914"/>
      <c r="E199" s="1391" t="str">
        <f ca="1">HYPERLINK("#"&amp;S199,CONST_LinkFromGuidance)</f>
        <v>Please click on this link if you want to go back to the relevant section for data entry.</v>
      </c>
      <c r="F199" s="1391"/>
      <c r="G199" s="1391"/>
      <c r="H199" s="1391"/>
      <c r="I199" s="1391"/>
      <c r="J199" s="1391"/>
      <c r="K199" s="1391"/>
      <c r="L199" s="1391"/>
      <c r="M199" s="1391"/>
      <c r="N199" s="1391"/>
      <c r="O199" s="428"/>
      <c r="R199" s="91" t="s">
        <v>2836</v>
      </c>
      <c r="S199" s="114" t="str">
        <f ca="1">ADDRESS(9,4,,,Summary_Products!$BF$2)</f>
        <v>Summary_Products!$D$9</v>
      </c>
    </row>
    <row r="200" spans="1:19" ht="5.0999999999999996" customHeight="1" x14ac:dyDescent="0.2">
      <c r="A200" s="92"/>
      <c r="B200" s="94"/>
      <c r="C200" s="144"/>
      <c r="D200" s="914"/>
      <c r="E200" s="915"/>
      <c r="F200" s="915"/>
      <c r="G200" s="915"/>
      <c r="H200" s="915"/>
      <c r="I200" s="915"/>
      <c r="J200" s="915"/>
      <c r="K200" s="915"/>
      <c r="L200" s="915"/>
      <c r="M200" s="915"/>
      <c r="N200" s="144"/>
      <c r="O200" s="428"/>
      <c r="S200" s="110"/>
    </row>
    <row r="201" spans="1:19" ht="25.5" customHeight="1" x14ac:dyDescent="0.2">
      <c r="A201" s="92"/>
      <c r="B201" s="94"/>
      <c r="C201" s="144"/>
      <c r="D201" s="914"/>
      <c r="E201" s="1392" t="str">
        <f>Translations!$B$471</f>
        <v>General parameters</v>
      </c>
      <c r="F201" s="1392"/>
      <c r="G201" s="1392"/>
      <c r="H201" s="1392"/>
      <c r="I201" s="1392"/>
      <c r="J201" s="1392"/>
      <c r="K201" s="1392"/>
      <c r="L201" s="1392"/>
      <c r="M201" s="1392"/>
      <c r="N201" s="1392"/>
      <c r="O201" s="428"/>
      <c r="S201" s="110"/>
    </row>
    <row r="202" spans="1:19" ht="25.15" customHeight="1" x14ac:dyDescent="0.2">
      <c r="A202" s="92"/>
      <c r="B202" s="94"/>
      <c r="C202" s="144"/>
      <c r="D202" s="967"/>
      <c r="E202" s="415" t="str">
        <f>Translations!$B$472</f>
        <v>Production process from which the products arise</v>
      </c>
      <c r="F202" s="416"/>
      <c r="G202" s="1381"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81"/>
      <c r="I202" s="1381"/>
      <c r="J202" s="1381"/>
      <c r="K202" s="1381"/>
      <c r="L202" s="1381"/>
      <c r="M202" s="1381"/>
      <c r="N202" s="1381"/>
      <c r="O202" s="428"/>
      <c r="S202" s="110"/>
    </row>
    <row r="203" spans="1:19" ht="12.75" customHeight="1" x14ac:dyDescent="0.2">
      <c r="A203" s="92"/>
      <c r="B203" s="94"/>
      <c r="C203" s="144"/>
      <c r="D203" s="967"/>
      <c r="E203" s="242" t="str">
        <f>Translations!$B$603</f>
        <v>Type of aggregated good or precursor</v>
      </c>
      <c r="F203" s="414"/>
      <c r="G203" s="1384"/>
      <c r="H203" s="1384"/>
      <c r="I203" s="1384"/>
      <c r="J203" s="1384"/>
      <c r="K203" s="1384"/>
      <c r="L203" s="1384"/>
      <c r="M203" s="1384"/>
      <c r="N203" s="1384"/>
      <c r="O203" s="428"/>
      <c r="S203" s="110"/>
    </row>
    <row r="204" spans="1:19" ht="12.75" customHeight="1" x14ac:dyDescent="0.2">
      <c r="A204" s="92"/>
      <c r="B204" s="94"/>
      <c r="C204" s="144"/>
      <c r="D204" s="967"/>
      <c r="E204" s="242" t="str">
        <f>Translations!$B$474</f>
        <v>CN Codes</v>
      </c>
      <c r="F204" s="414"/>
      <c r="G204" s="1380" t="str">
        <f>Translations!$B$475</f>
        <v>Please select here the relevant CN code, as disaggregated as possible (i.e. 8-digit code, if possible)</v>
      </c>
      <c r="H204" s="1380"/>
      <c r="I204" s="1380"/>
      <c r="J204" s="1380"/>
      <c r="K204" s="1380"/>
      <c r="L204" s="1380"/>
      <c r="M204" s="1380"/>
      <c r="N204" s="1380"/>
      <c r="O204" s="428"/>
      <c r="S204" s="110"/>
    </row>
    <row r="205" spans="1:19" ht="13.15" customHeight="1" x14ac:dyDescent="0.2">
      <c r="A205" s="92"/>
      <c r="B205" s="94"/>
      <c r="C205" s="144"/>
      <c r="D205" s="967"/>
      <c r="E205" s="242" t="str">
        <f>Translations!$B$604</f>
        <v>CN Name</v>
      </c>
      <c r="F205" s="414"/>
      <c r="G205" s="1380" t="str">
        <f>Translations!$B$2072</f>
        <v>The full text name of the selected CN category will be displayed here automatically after selecting the CN code.</v>
      </c>
      <c r="H205" s="1380"/>
      <c r="I205" s="1380"/>
      <c r="J205" s="1380"/>
      <c r="K205" s="1380"/>
      <c r="L205" s="1380"/>
      <c r="M205" s="1380"/>
      <c r="N205" s="1380"/>
      <c r="O205" s="428"/>
      <c r="S205" s="110"/>
    </row>
    <row r="206" spans="1:19" ht="38.25" customHeight="1" x14ac:dyDescent="0.2">
      <c r="A206" s="92"/>
      <c r="B206" s="94"/>
      <c r="C206" s="144"/>
      <c r="D206" s="967"/>
      <c r="E206" s="242" t="str">
        <f>Translations!$B$476</f>
        <v>Product name 
(used for communication with reporting declarant)</v>
      </c>
      <c r="F206" s="414"/>
      <c r="G206" s="1380"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80"/>
      <c r="I206" s="1380"/>
      <c r="J206" s="1380"/>
      <c r="K206" s="1380"/>
      <c r="L206" s="1380"/>
      <c r="M206" s="1380"/>
      <c r="N206" s="1380"/>
      <c r="O206" s="428"/>
      <c r="S206" s="110"/>
    </row>
    <row r="207" spans="1:19" ht="13.15" customHeight="1" x14ac:dyDescent="0.2">
      <c r="A207" s="92"/>
      <c r="B207" s="94"/>
      <c r="C207" s="144"/>
      <c r="D207" s="967"/>
      <c r="E207" s="413" t="str">
        <f>Translations!$B$478</f>
        <v>Embedded emissions</v>
      </c>
      <c r="F207" s="1109" t="str">
        <f>Translations!$B$570</f>
        <v>SEE (direct)</v>
      </c>
      <c r="G207" s="1381"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81"/>
      <c r="I207" s="1381"/>
      <c r="J207" s="1381"/>
      <c r="K207" s="1381"/>
      <c r="L207" s="1381"/>
      <c r="M207" s="1381"/>
      <c r="N207" s="1381"/>
      <c r="O207" s="428"/>
      <c r="S207" s="110"/>
    </row>
    <row r="208" spans="1:19" ht="13.15" customHeight="1" x14ac:dyDescent="0.2">
      <c r="A208" s="92"/>
      <c r="B208" s="94"/>
      <c r="C208" s="144"/>
      <c r="D208" s="967"/>
      <c r="E208" s="441"/>
      <c r="F208" s="1104" t="str">
        <f>Translations!$B$574</f>
        <v>SEE (indirect)</v>
      </c>
      <c r="G208" s="1382"/>
      <c r="H208" s="1382"/>
      <c r="I208" s="1382"/>
      <c r="J208" s="1382"/>
      <c r="K208" s="1382"/>
      <c r="L208" s="1382"/>
      <c r="M208" s="1382"/>
      <c r="N208" s="1382"/>
      <c r="O208" s="428"/>
      <c r="S208" s="110"/>
    </row>
    <row r="209" spans="1:19" ht="13.15" customHeight="1" x14ac:dyDescent="0.2">
      <c r="A209" s="92"/>
      <c r="B209" s="94"/>
      <c r="C209" s="144"/>
      <c r="D209" s="967"/>
      <c r="E209" s="441"/>
      <c r="F209" s="1104" t="str">
        <f>Translations!$B$344</f>
        <v>SEE (total)</v>
      </c>
      <c r="G209" s="1382"/>
      <c r="H209" s="1382"/>
      <c r="I209" s="1382"/>
      <c r="J209" s="1382"/>
      <c r="K209" s="1382"/>
      <c r="L209" s="1382"/>
      <c r="M209" s="1382"/>
      <c r="N209" s="1382"/>
      <c r="O209" s="428"/>
      <c r="S209" s="110"/>
    </row>
    <row r="210" spans="1:19" ht="13.15" customHeight="1" x14ac:dyDescent="0.2">
      <c r="A210" s="92"/>
      <c r="B210" s="94"/>
      <c r="C210" s="144"/>
      <c r="D210" s="967"/>
      <c r="E210" s="415"/>
      <c r="F210" s="819" t="str">
        <f>Translations!$B$221</f>
        <v>Unit</v>
      </c>
      <c r="G210" s="1385" t="str">
        <f>Translations!$B$2074</f>
        <v>The unit for all SEE values is t CO2e per tonne of product. For electricity as product SEE is in the unit of t CO2e per MWh.</v>
      </c>
      <c r="H210" s="1386"/>
      <c r="I210" s="1386"/>
      <c r="J210" s="1386"/>
      <c r="K210" s="1386"/>
      <c r="L210" s="1386"/>
      <c r="M210" s="1386"/>
      <c r="N210" s="1386"/>
      <c r="O210" s="428"/>
      <c r="S210" s="110"/>
    </row>
    <row r="211" spans="1:19" ht="25.5" customHeight="1" x14ac:dyDescent="0.2">
      <c r="A211" s="92"/>
      <c r="B211" s="94"/>
      <c r="C211" s="144"/>
      <c r="D211" s="967"/>
      <c r="E211" s="413" t="str">
        <f>Translations!$B$1868</f>
        <v>Share of emissions by default value</v>
      </c>
      <c r="F211" s="417"/>
      <c r="G211" s="1380" t="str">
        <f>Translations!$B$1869</f>
        <v>Share of direct embedded emissions embedded in purchased precursors and determined by default values.</v>
      </c>
      <c r="H211" s="1380"/>
      <c r="I211" s="1380"/>
      <c r="J211" s="1380"/>
      <c r="K211" s="1380"/>
      <c r="L211" s="1380"/>
      <c r="M211" s="1380"/>
      <c r="N211" s="1380"/>
      <c r="O211" s="428"/>
      <c r="S211" s="110"/>
    </row>
    <row r="212" spans="1:19" ht="25.5" customHeight="1" x14ac:dyDescent="0.2">
      <c r="A212" s="92"/>
      <c r="B212" s="94"/>
      <c r="C212" s="144"/>
      <c r="D212" s="967"/>
      <c r="E212" s="413" t="str">
        <f>Translations!$B$606</f>
        <v>Source for electricity EF</v>
      </c>
      <c r="F212" s="417"/>
      <c r="G212" s="1381" t="str">
        <f>Translations!$B$2075</f>
        <v>The source of the emission factor for electricity. The following options (based on the related sections of Annex III of the Implementing Act) are available:</v>
      </c>
      <c r="H212" s="1381"/>
      <c r="I212" s="1381"/>
      <c r="J212" s="1381"/>
      <c r="K212" s="1381"/>
      <c r="L212" s="1381"/>
      <c r="M212" s="1381"/>
      <c r="N212" s="1381"/>
      <c r="O212" s="428"/>
      <c r="S212" s="110"/>
    </row>
    <row r="213" spans="1:19" ht="12.75" customHeight="1" x14ac:dyDescent="0.2">
      <c r="A213" s="92"/>
      <c r="B213" s="94"/>
      <c r="C213" s="144"/>
      <c r="D213" s="966"/>
      <c r="E213" s="1106"/>
      <c r="F213" s="442" t="s">
        <v>3925</v>
      </c>
      <c r="G213" s="1385" t="str">
        <f>Translations!$B$2053</f>
        <v>EF based on IEA data, provided by the European Commission</v>
      </c>
      <c r="H213" s="1385"/>
      <c r="I213" s="1385"/>
      <c r="J213" s="1385"/>
      <c r="K213" s="1385"/>
      <c r="L213" s="1385"/>
      <c r="M213" s="1385"/>
      <c r="N213" s="1385"/>
      <c r="O213" s="428"/>
      <c r="S213" s="110"/>
    </row>
    <row r="214" spans="1:19" ht="25.9" customHeight="1" x14ac:dyDescent="0.2">
      <c r="A214" s="92"/>
      <c r="B214" s="94"/>
      <c r="C214" s="144"/>
      <c r="D214" s="966"/>
      <c r="E214" s="1106"/>
      <c r="F214" s="442" t="s">
        <v>3926</v>
      </c>
      <c r="G214" s="1380" t="str">
        <f>Translations!$B$2054</f>
        <v>EF based on other publicly available data representing either the average EF or the CO2 emission factor as in section 4.3 of Annex IV of the CBAM Regulation.</v>
      </c>
      <c r="H214" s="1380"/>
      <c r="I214" s="1380"/>
      <c r="J214" s="1380"/>
      <c r="K214" s="1380"/>
      <c r="L214" s="1380"/>
      <c r="M214" s="1380"/>
      <c r="N214" s="1380"/>
      <c r="O214" s="428"/>
      <c r="S214" s="110"/>
    </row>
    <row r="215" spans="1:19" ht="12.75" customHeight="1" x14ac:dyDescent="0.2">
      <c r="A215" s="92"/>
      <c r="B215" s="94"/>
      <c r="C215" s="144"/>
      <c r="D215" s="966"/>
      <c r="E215" s="1106"/>
      <c r="F215" s="442" t="s">
        <v>3927</v>
      </c>
      <c r="G215" s="1380" t="str">
        <f>Translations!$B$2055</f>
        <v>EF of electricity produced in the installation other than by cogeneration</v>
      </c>
      <c r="H215" s="1380"/>
      <c r="I215" s="1380"/>
      <c r="J215" s="1380"/>
      <c r="K215" s="1380"/>
      <c r="L215" s="1380"/>
      <c r="M215" s="1380"/>
      <c r="N215" s="1380"/>
      <c r="O215" s="428"/>
      <c r="S215" s="110"/>
    </row>
    <row r="216" spans="1:19" ht="12.75" customHeight="1" x14ac:dyDescent="0.2">
      <c r="A216" s="92"/>
      <c r="B216" s="94"/>
      <c r="C216" s="144"/>
      <c r="D216" s="966"/>
      <c r="E216" s="1106"/>
      <c r="F216" s="442" t="s">
        <v>3928</v>
      </c>
      <c r="G216" s="1380" t="str">
        <f>Translations!$B$2056</f>
        <v>EF of electricity produced in the installation by cogeneration</v>
      </c>
      <c r="H216" s="1380"/>
      <c r="I216" s="1380"/>
      <c r="J216" s="1380"/>
      <c r="K216" s="1380"/>
      <c r="L216" s="1380"/>
      <c r="M216" s="1380"/>
      <c r="N216" s="1380"/>
      <c r="O216" s="428"/>
      <c r="S216" s="110"/>
    </row>
    <row r="217" spans="1:19" ht="12.75" customHeight="1" x14ac:dyDescent="0.2">
      <c r="A217" s="92"/>
      <c r="B217" s="94"/>
      <c r="C217" s="144"/>
      <c r="D217" s="966"/>
      <c r="E217" s="1106"/>
      <c r="F217" s="442" t="s">
        <v>3929</v>
      </c>
      <c r="G217" s="1380" t="str">
        <f>Translations!$B$2057</f>
        <v>EF of electricity produced outside the installation (received from a source with a direct technical link)</v>
      </c>
      <c r="H217" s="1380"/>
      <c r="I217" s="1380"/>
      <c r="J217" s="1380"/>
      <c r="K217" s="1380"/>
      <c r="L217" s="1380"/>
      <c r="M217" s="1380"/>
      <c r="N217" s="1380"/>
      <c r="O217" s="428"/>
      <c r="S217" s="110"/>
    </row>
    <row r="218" spans="1:19" ht="12.75" customHeight="1" x14ac:dyDescent="0.2">
      <c r="A218" s="92"/>
      <c r="B218" s="94"/>
      <c r="C218" s="144"/>
      <c r="D218" s="966"/>
      <c r="E218" s="1106"/>
      <c r="F218" s="442" t="s">
        <v>3930</v>
      </c>
      <c r="G218" s="1380" t="str">
        <f>Translations!$B$2058</f>
        <v>EF of electricity produced outside the installation (received from a producer under a power purchase agreement)</v>
      </c>
      <c r="H218" s="1380"/>
      <c r="I218" s="1380"/>
      <c r="J218" s="1380"/>
      <c r="K218" s="1380"/>
      <c r="L218" s="1380"/>
      <c r="M218" s="1380"/>
      <c r="N218" s="1380"/>
      <c r="O218" s="428"/>
      <c r="S218" s="110"/>
    </row>
    <row r="219" spans="1:19" ht="25.5" customHeight="1" x14ac:dyDescent="0.2">
      <c r="A219" s="92"/>
      <c r="B219" s="94"/>
      <c r="C219" s="144"/>
      <c r="D219" s="966"/>
      <c r="E219" s="1107"/>
      <c r="F219" s="416" t="str">
        <f>Translations!$B$460</f>
        <v>Mix</v>
      </c>
      <c r="G219" s="1380" t="str">
        <f>Translations!$B$461</f>
        <v>Where the electricity is not predominantly obtained from one source or the EF determined by more than one of the above sources, the EF is determined as a mix of the methods above.</v>
      </c>
      <c r="H219" s="1380"/>
      <c r="I219" s="1380"/>
      <c r="J219" s="1380"/>
      <c r="K219" s="1380"/>
      <c r="L219" s="1380"/>
      <c r="M219" s="1380"/>
      <c r="N219" s="1380"/>
      <c r="O219" s="428"/>
      <c r="S219" s="110"/>
    </row>
    <row r="220" spans="1:19" ht="25.5" customHeight="1" x14ac:dyDescent="0.2">
      <c r="A220" s="92"/>
      <c r="B220" s="94"/>
      <c r="C220" s="144"/>
      <c r="D220" s="967"/>
      <c r="E220" s="413" t="str">
        <f>Translations!$B$480</f>
        <v>Embedded electricity</v>
      </c>
      <c r="F220" s="417"/>
      <c r="G220" s="1381" t="str">
        <f>Translations!$B$2076</f>
        <v>Specific embedded electricity consumption of the production process, i.e. including any embedded electricity consumption in other production processes within the installation and purchased precursors.</v>
      </c>
      <c r="H220" s="1381"/>
      <c r="I220" s="1381"/>
      <c r="J220" s="1381"/>
      <c r="K220" s="1381"/>
      <c r="L220" s="1381"/>
      <c r="M220" s="1381"/>
      <c r="N220" s="1381"/>
      <c r="O220" s="428"/>
      <c r="S220" s="110"/>
    </row>
    <row r="221" spans="1:19" ht="25.5" customHeight="1" x14ac:dyDescent="0.2">
      <c r="A221" s="92"/>
      <c r="B221" s="94"/>
      <c r="C221" s="144"/>
      <c r="D221" s="967"/>
      <c r="E221" s="1392" t="str">
        <f>Translations!$B$482</f>
        <v>Special parameters for certain aggregated good types</v>
      </c>
      <c r="F221" s="1392"/>
      <c r="G221" s="1392"/>
      <c r="H221" s="1392"/>
      <c r="I221" s="1392"/>
      <c r="J221" s="1392"/>
      <c r="K221" s="1392"/>
      <c r="L221" s="1392"/>
      <c r="M221" s="1392"/>
      <c r="N221" s="1392"/>
      <c r="O221" s="428"/>
      <c r="S221" s="110"/>
    </row>
    <row r="222" spans="1:19" ht="25.5" customHeight="1" x14ac:dyDescent="0.2">
      <c r="A222" s="92"/>
      <c r="B222" s="94"/>
      <c r="C222" s="144"/>
      <c r="D222" s="967"/>
      <c r="E222" s="413" t="str">
        <f>Translations!$B$483</f>
        <v>The main reducing agent of the precursor, if known</v>
      </c>
      <c r="F222" s="414"/>
      <c r="G222" s="1380" t="str">
        <f>Translations!$B$484</f>
        <v>This parameter is relevant for the production of pig iron, direct reduced iron, crude steel and iron and steel products. Please select from the drop-down list the main reducing agent (coke or coal, natural gas, etc.) used to reduce the iron ores.</v>
      </c>
      <c r="H222" s="1380"/>
      <c r="I222" s="1380"/>
      <c r="J222" s="1380"/>
      <c r="K222" s="1380"/>
      <c r="L222" s="1380"/>
      <c r="M222" s="1380"/>
      <c r="N222" s="1380"/>
      <c r="O222" s="428"/>
      <c r="S222" s="110"/>
    </row>
    <row r="223" spans="1:19" ht="38.25" customHeight="1" x14ac:dyDescent="0.2">
      <c r="A223" s="92"/>
      <c r="B223" s="94"/>
      <c r="C223" s="144"/>
      <c r="D223" s="967"/>
      <c r="E223" s="413" t="str">
        <f>Translations!$B$485</f>
        <v>Steel mill identification number</v>
      </c>
      <c r="F223" s="414"/>
      <c r="G223" s="1380"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80"/>
      <c r="I223" s="1380"/>
      <c r="J223" s="1380"/>
      <c r="K223" s="1380"/>
      <c r="L223" s="1380"/>
      <c r="M223" s="1380"/>
      <c r="N223" s="1380"/>
      <c r="O223" s="428"/>
      <c r="S223" s="110"/>
    </row>
    <row r="224" spans="1:19" ht="25.5" customHeight="1" x14ac:dyDescent="0.2">
      <c r="A224" s="92"/>
      <c r="B224" s="94"/>
      <c r="C224" s="144"/>
      <c r="D224" s="967"/>
      <c r="E224" s="413" t="str">
        <f>Translations!$B$487</f>
        <v>% Mn</v>
      </c>
      <c r="F224" s="414"/>
      <c r="G224" s="1380" t="str">
        <f>Translations!$B$488</f>
        <v>This parameter is relevant for the production of pig iron, direct reduced iron, crude steel, iron and steel products and ferro-manganese. Please provide here the mass % of Mn in the product.</v>
      </c>
      <c r="H224" s="1380"/>
      <c r="I224" s="1380"/>
      <c r="J224" s="1380"/>
      <c r="K224" s="1380"/>
      <c r="L224" s="1380"/>
      <c r="M224" s="1380"/>
      <c r="N224" s="1380"/>
      <c r="O224" s="428"/>
      <c r="S224" s="110"/>
    </row>
    <row r="225" spans="1:19" ht="25.5" customHeight="1" x14ac:dyDescent="0.2">
      <c r="A225" s="92"/>
      <c r="B225" s="94"/>
      <c r="C225" s="144"/>
      <c r="D225" s="967"/>
      <c r="E225" s="413" t="str">
        <f>Translations!$B$489</f>
        <v>% Cr</v>
      </c>
      <c r="F225" s="414"/>
      <c r="G225" s="1380" t="str">
        <f>Translations!$B$490</f>
        <v>This parameter is relevant for the production of pig iron, direct reduced iron, crude steel, iron and steel products and ferro-chromium. Please provide here the mass % of Cr in the product.</v>
      </c>
      <c r="H225" s="1380"/>
      <c r="I225" s="1380"/>
      <c r="J225" s="1380"/>
      <c r="K225" s="1380"/>
      <c r="L225" s="1380"/>
      <c r="M225" s="1380"/>
      <c r="N225" s="1380"/>
      <c r="O225" s="428"/>
      <c r="S225" s="110"/>
    </row>
    <row r="226" spans="1:19" ht="25.5" customHeight="1" x14ac:dyDescent="0.2">
      <c r="A226" s="92"/>
      <c r="B226" s="94"/>
      <c r="C226" s="144"/>
      <c r="D226" s="967"/>
      <c r="E226" s="413" t="str">
        <f>Translations!$B$491</f>
        <v>% Ni</v>
      </c>
      <c r="F226" s="414"/>
      <c r="G226" s="1380" t="str">
        <f>Translations!$B$492</f>
        <v>This parameter is relevant for the production of pig iron, direct reduced iron, crude steel, iron and steel products and ferro-nickel. Please provide here the mass % of Ni in the product.</v>
      </c>
      <c r="H226" s="1380"/>
      <c r="I226" s="1380"/>
      <c r="J226" s="1380"/>
      <c r="K226" s="1380"/>
      <c r="L226" s="1380"/>
      <c r="M226" s="1380"/>
      <c r="N226" s="1380"/>
      <c r="O226" s="428"/>
      <c r="S226" s="110"/>
    </row>
    <row r="227" spans="1:19" ht="25.5" customHeight="1" x14ac:dyDescent="0.2">
      <c r="A227" s="92"/>
      <c r="B227" s="94"/>
      <c r="C227" s="144"/>
      <c r="D227" s="967"/>
      <c r="E227" s="413" t="str">
        <f>Translations!$B$493</f>
        <v>% other alloys</v>
      </c>
      <c r="F227" s="414"/>
      <c r="G227" s="1380" t="str">
        <f>Translations!$B$494</f>
        <v>This parameter is relevant for the production of pig iron, direct reduced iron, crude steel and iron and steel products. Please provide here the mass % of other alloy elements in the product.</v>
      </c>
      <c r="H227" s="1380"/>
      <c r="I227" s="1380"/>
      <c r="J227" s="1380"/>
      <c r="K227" s="1380"/>
      <c r="L227" s="1380"/>
      <c r="M227" s="1380"/>
      <c r="N227" s="1380"/>
      <c r="O227" s="428"/>
      <c r="S227" s="110"/>
    </row>
    <row r="228" spans="1:19" ht="25.5" customHeight="1" x14ac:dyDescent="0.2">
      <c r="A228" s="92"/>
      <c r="B228" s="94"/>
      <c r="C228" s="144"/>
      <c r="D228" s="967"/>
      <c r="E228" s="413" t="str">
        <f>Translations!$B$495</f>
        <v>% carbon</v>
      </c>
      <c r="F228" s="414"/>
      <c r="G228" s="1380" t="str">
        <f>Translations!$B$496</f>
        <v>This parameter is relevant for the production of ferro-manganese, ferro-chromium and ferro-nickel. Please provide here the mass % of carbon in the product.</v>
      </c>
      <c r="H228" s="1380"/>
      <c r="I228" s="1380"/>
      <c r="J228" s="1380"/>
      <c r="K228" s="1380"/>
      <c r="L228" s="1380"/>
      <c r="M228" s="1380"/>
      <c r="N228" s="1380"/>
      <c r="O228" s="428"/>
      <c r="S228" s="110"/>
    </row>
    <row r="229" spans="1:19" ht="25.5" customHeight="1" x14ac:dyDescent="0.2">
      <c r="A229" s="92"/>
      <c r="B229" s="94"/>
      <c r="C229" s="144"/>
      <c r="D229" s="967"/>
      <c r="E229" s="413" t="str">
        <f>Translations!$B$497</f>
        <v>t scrap per t steel</v>
      </c>
      <c r="F229" s="414"/>
      <c r="G229" s="1380" t="str">
        <f>Translations!$B$498</f>
        <v>This parameter is relevant for the production of crude steel and iron and steel products. Please provide here the mass % of tonne scrap used per tonne of steel produced.</v>
      </c>
      <c r="H229" s="1380"/>
      <c r="I229" s="1380"/>
      <c r="J229" s="1380"/>
      <c r="K229" s="1380"/>
      <c r="L229" s="1380"/>
      <c r="M229" s="1380"/>
      <c r="N229" s="1380"/>
      <c r="O229" s="428"/>
      <c r="S229" s="110"/>
    </row>
    <row r="230" spans="1:19" ht="25.5" customHeight="1" x14ac:dyDescent="0.2">
      <c r="A230" s="92"/>
      <c r="B230" s="94"/>
      <c r="C230" s="144"/>
      <c r="D230" s="967"/>
      <c r="E230" s="413" t="str">
        <f>Translations!$B$499</f>
        <v>% other materials</v>
      </c>
      <c r="F230" s="414"/>
      <c r="G230" s="1380" t="str">
        <f>Translations!$B$500</f>
        <v>This parameter is relevant for the production of the aggregated good iron and steel products. Please provide here the mass % of materials contained which are not iron or steel, if their mass is more than 1-5% of the total good’s mass.</v>
      </c>
      <c r="H230" s="1380"/>
      <c r="I230" s="1380"/>
      <c r="J230" s="1380"/>
      <c r="K230" s="1380"/>
      <c r="L230" s="1380"/>
      <c r="M230" s="1380"/>
      <c r="N230" s="1380"/>
      <c r="O230" s="428"/>
      <c r="S230" s="110"/>
    </row>
    <row r="231" spans="1:19" ht="25.5" customHeight="1" x14ac:dyDescent="0.2">
      <c r="A231" s="92"/>
      <c r="B231" s="94"/>
      <c r="C231" s="144"/>
      <c r="D231" s="967"/>
      <c r="E231" s="413" t="str">
        <f>Translations!$B$503</f>
        <v>% pre-consumer scrap</v>
      </c>
      <c r="F231" s="414"/>
      <c r="G231" s="1380" t="str">
        <f>Translations!$B$504</f>
        <v>This parameter is relevant for the production of crude steel, unwrought aluminium and aluminium products. Please provide here the mass % of tonne pre-consumer scrap used per tonne of steel/aluminium produced.</v>
      </c>
      <c r="H231" s="1380"/>
      <c r="I231" s="1380"/>
      <c r="J231" s="1380"/>
      <c r="K231" s="1380"/>
      <c r="L231" s="1380"/>
      <c r="M231" s="1380"/>
      <c r="N231" s="1380"/>
      <c r="O231" s="428"/>
      <c r="S231" s="110"/>
    </row>
    <row r="232" spans="1:19" ht="25.5" customHeight="1" x14ac:dyDescent="0.2">
      <c r="A232" s="92"/>
      <c r="B232" s="94"/>
      <c r="C232" s="144"/>
      <c r="D232" s="967"/>
      <c r="E232" s="413" t="str">
        <f>Translations!$B$501</f>
        <v>t scrap per t aluminium</v>
      </c>
      <c r="F232" s="414"/>
      <c r="G232" s="1380" t="str">
        <f>Translations!$B$502</f>
        <v>This parameter is relevant for the production of unwrought aluminium and aluminium products. Please provide here the mass % of tonne scrap used per tonne of aluminium produced.</v>
      </c>
      <c r="H232" s="1380"/>
      <c r="I232" s="1380"/>
      <c r="J232" s="1380"/>
      <c r="K232" s="1380"/>
      <c r="L232" s="1380"/>
      <c r="M232" s="1380"/>
      <c r="N232" s="1380"/>
      <c r="O232" s="428"/>
      <c r="S232" s="110"/>
    </row>
    <row r="233" spans="1:19" ht="25.5" customHeight="1" x14ac:dyDescent="0.2">
      <c r="A233" s="92"/>
      <c r="B233" s="94"/>
      <c r="C233" s="144"/>
      <c r="D233" s="967"/>
      <c r="E233" s="413" t="str">
        <f>Translations!$B$505</f>
        <v>% non-aluminium elements</v>
      </c>
      <c r="F233" s="414"/>
      <c r="G233" s="1380" t="str">
        <f>Translations!$B$506</f>
        <v>This parameter is relevant for the production of unwrought aluminium and aluminium products. Please provide here the mass % of elements contained which are not aluminium, if their mass is more than 1% of the total good’s mass.</v>
      </c>
      <c r="H233" s="1380"/>
      <c r="I233" s="1380"/>
      <c r="J233" s="1380"/>
      <c r="K233" s="1380"/>
      <c r="L233" s="1380"/>
      <c r="M233" s="1380"/>
      <c r="N233" s="1380"/>
      <c r="O233" s="428"/>
      <c r="S233" s="110"/>
    </row>
    <row r="234" spans="1:19" ht="25.9" customHeight="1" x14ac:dyDescent="0.2">
      <c r="A234" s="92"/>
      <c r="B234" s="94"/>
      <c r="C234" s="144"/>
      <c r="D234" s="967"/>
      <c r="E234" s="413" t="str">
        <f>Translations!$B$507</f>
        <v>Clinker factor</v>
      </c>
      <c r="F234" s="414"/>
      <c r="G234" s="1380" t="str">
        <f>Translations!$B$2078</f>
        <v>This parameter is relevant for the production of cement. Please provide here the clinker factor (i.e. clinker to cement ratio), expressed as mass % of clinker content in the cement.</v>
      </c>
      <c r="H234" s="1380"/>
      <c r="I234" s="1380"/>
      <c r="J234" s="1380"/>
      <c r="K234" s="1380"/>
      <c r="L234" s="1380"/>
      <c r="M234" s="1380"/>
      <c r="N234" s="1380"/>
      <c r="O234" s="428"/>
      <c r="S234" s="110"/>
    </row>
    <row r="235" spans="1:19" ht="25.5" customHeight="1" x14ac:dyDescent="0.2">
      <c r="A235" s="92"/>
      <c r="B235" s="94"/>
      <c r="C235" s="144"/>
      <c r="D235" s="967"/>
      <c r="E235" s="413" t="str">
        <f>Translations!$B$509</f>
        <v>Calcined or not</v>
      </c>
      <c r="F235" s="414"/>
      <c r="G235" s="1380" t="str">
        <f>Translations!$B$510</f>
        <v>This parameter is relevant for the production of calcined clay. Please select here from the drop-down list whether the clay is calcined or not.</v>
      </c>
      <c r="H235" s="1380"/>
      <c r="I235" s="1380"/>
      <c r="J235" s="1380"/>
      <c r="K235" s="1380"/>
      <c r="L235" s="1380"/>
      <c r="M235" s="1380"/>
      <c r="N235" s="1380"/>
      <c r="O235" s="428"/>
      <c r="S235" s="110"/>
    </row>
    <row r="236" spans="1:19" ht="25.5" customHeight="1" x14ac:dyDescent="0.2">
      <c r="A236" s="92"/>
      <c r="B236" s="94"/>
      <c r="C236" s="144"/>
      <c r="D236" s="967"/>
      <c r="E236" s="413" t="str">
        <f>Translations!$B$511</f>
        <v>Concentration, if hydrous solution</v>
      </c>
      <c r="F236" s="414"/>
      <c r="G236" s="1380" t="str">
        <f>Translations!$B$2079</f>
        <v>This parameter is relevant for the production of ammonia. Please provide here the concentration of ammonia, if in hydrous solution, expressed as %, or enter 100% for pure/anhydrous ammonia.</v>
      </c>
      <c r="H236" s="1380"/>
      <c r="I236" s="1380"/>
      <c r="J236" s="1380"/>
      <c r="K236" s="1380"/>
      <c r="L236" s="1380"/>
      <c r="M236" s="1380"/>
      <c r="N236" s="1380"/>
      <c r="O236" s="428"/>
      <c r="S236" s="110"/>
    </row>
    <row r="237" spans="1:19" ht="25.5" customHeight="1" x14ac:dyDescent="0.2">
      <c r="A237" s="92"/>
      <c r="B237" s="94"/>
      <c r="C237" s="144"/>
      <c r="D237" s="967"/>
      <c r="E237" s="413" t="str">
        <f>Translations!$B$513</f>
        <v>% nitric acid</v>
      </c>
      <c r="F237" s="414"/>
      <c r="G237" s="1380" t="str">
        <f>Translations!$B$514</f>
        <v>This parameter is relevant for the production of nitric acid. Please provide here the mass % of nitric acid in the product (i.e. the purity).</v>
      </c>
      <c r="H237" s="1380"/>
      <c r="I237" s="1380"/>
      <c r="J237" s="1380"/>
      <c r="K237" s="1380"/>
      <c r="L237" s="1380"/>
      <c r="M237" s="1380"/>
      <c r="N237" s="1380"/>
      <c r="O237" s="428"/>
      <c r="S237" s="110"/>
    </row>
    <row r="238" spans="1:19" x14ac:dyDescent="0.2">
      <c r="A238" s="92"/>
      <c r="B238" s="94"/>
      <c r="C238" s="144"/>
      <c r="D238" s="967"/>
      <c r="E238" s="413" t="str">
        <f>Translations!$B$515</f>
        <v>% urea</v>
      </c>
      <c r="F238" s="414"/>
      <c r="G238" s="1380" t="str">
        <f>Translations!$B$516</f>
        <v>This parameter is relevant for the production of urea. Please provide here the mass % of urea in the product (i.e. the purity).</v>
      </c>
      <c r="H238" s="1380"/>
      <c r="I238" s="1380"/>
      <c r="J238" s="1380"/>
      <c r="K238" s="1380"/>
      <c r="L238" s="1380"/>
      <c r="M238" s="1380"/>
      <c r="N238" s="1380"/>
      <c r="O238" s="428"/>
      <c r="S238" s="110"/>
    </row>
    <row r="239" spans="1:19" x14ac:dyDescent="0.2">
      <c r="A239" s="92"/>
      <c r="B239" s="94"/>
      <c r="C239" s="144"/>
      <c r="D239" s="967"/>
      <c r="E239" s="413" t="str">
        <f>Translations!$B$517</f>
        <v>% N contained</v>
      </c>
      <c r="F239" s="414"/>
      <c r="G239" s="1380" t="str">
        <f>Translations!$B$518</f>
        <v>This parameter is relevant for the production of urea. Please provide here the mass % nitrogen in the product.</v>
      </c>
      <c r="H239" s="1380"/>
      <c r="I239" s="1380"/>
      <c r="J239" s="1380"/>
      <c r="K239" s="1380"/>
      <c r="L239" s="1380"/>
      <c r="M239" s="1380"/>
      <c r="N239" s="1380"/>
      <c r="O239" s="428"/>
      <c r="S239" s="110"/>
    </row>
    <row r="240" spans="1:19" ht="25.5" customHeight="1" x14ac:dyDescent="0.2">
      <c r="A240" s="92"/>
      <c r="B240" s="94"/>
      <c r="C240" s="144"/>
      <c r="D240" s="967"/>
      <c r="E240" s="413" t="str">
        <f>Translations!$B$519</f>
        <v>% N as ammonium (NH4+)</v>
      </c>
      <c r="F240" s="414"/>
      <c r="G240" s="1380" t="str">
        <f>Translations!$B$520</f>
        <v>This parameter is relevant for the production of mixed fertilisers. Please provide here the mass % content of nitrogen as ammonium ion.</v>
      </c>
      <c r="H240" s="1380"/>
      <c r="I240" s="1380"/>
      <c r="J240" s="1380"/>
      <c r="K240" s="1380"/>
      <c r="L240" s="1380"/>
      <c r="M240" s="1380"/>
      <c r="N240" s="1380"/>
      <c r="O240" s="428"/>
      <c r="S240" s="110"/>
    </row>
    <row r="241" spans="1:19" ht="25.5" customHeight="1" x14ac:dyDescent="0.2">
      <c r="A241" s="92"/>
      <c r="B241" s="94"/>
      <c r="C241" s="144"/>
      <c r="D241" s="967"/>
      <c r="E241" s="413" t="str">
        <f>Translations!$B$521</f>
        <v>% N as nitrate (NO3–)</v>
      </c>
      <c r="F241" s="414"/>
      <c r="G241" s="1380" t="str">
        <f>Translations!$B$522</f>
        <v>This parameter is relevant for the production of mixed fertilisers. Please provide here the mass % content of nitrogen as nitrate ion.</v>
      </c>
      <c r="H241" s="1380"/>
      <c r="I241" s="1380"/>
      <c r="J241" s="1380"/>
      <c r="K241" s="1380"/>
      <c r="L241" s="1380"/>
      <c r="M241" s="1380"/>
      <c r="N241" s="1380"/>
      <c r="O241" s="428"/>
      <c r="S241" s="110"/>
    </row>
    <row r="242" spans="1:19" ht="12.75" customHeight="1" x14ac:dyDescent="0.2">
      <c r="A242" s="92"/>
      <c r="B242" s="94"/>
      <c r="C242" s="144"/>
      <c r="D242" s="967"/>
      <c r="E242" s="413" t="str">
        <f>Translations!$B$523</f>
        <v>% N as Urea</v>
      </c>
      <c r="F242" s="414"/>
      <c r="G242" s="1380" t="str">
        <f>Translations!$B$524</f>
        <v>This parameter is relevant for the production of mixed fertilisers. Please provide here the mass % content of urea.</v>
      </c>
      <c r="H242" s="1380"/>
      <c r="I242" s="1380"/>
      <c r="J242" s="1380"/>
      <c r="K242" s="1380"/>
      <c r="L242" s="1380"/>
      <c r="M242" s="1380"/>
      <c r="N242" s="1380"/>
      <c r="O242" s="428"/>
      <c r="S242" s="110"/>
    </row>
    <row r="243" spans="1:19" ht="25.5" customHeight="1" x14ac:dyDescent="0.2">
      <c r="A243" s="92"/>
      <c r="B243" s="94"/>
      <c r="C243" s="144"/>
      <c r="D243" s="967"/>
      <c r="E243" s="413" t="str">
        <f>Translations!$B$525</f>
        <v>% N in other (organic) forms</v>
      </c>
      <c r="F243" s="417"/>
      <c r="G243" s="1380" t="str">
        <f>Translations!$B$526</f>
        <v>This parameter is relevant for the production of mixed fertilisers. Please provide here the mass % content of nitrogen in other forms.</v>
      </c>
      <c r="H243" s="1380"/>
      <c r="I243" s="1380"/>
      <c r="J243" s="1380"/>
      <c r="K243" s="1380"/>
      <c r="L243" s="1380"/>
      <c r="M243" s="1380"/>
      <c r="N243" s="1380"/>
      <c r="O243" s="428"/>
      <c r="S243" s="110"/>
    </row>
    <row r="244" spans="1:19" ht="25.5" customHeight="1" x14ac:dyDescent="0.2">
      <c r="A244" s="92"/>
      <c r="B244" s="94"/>
      <c r="C244" s="144"/>
      <c r="D244" s="967"/>
      <c r="E244" s="1392" t="str">
        <f>Translations!$B$527</f>
        <v>Information on carbon price due</v>
      </c>
      <c r="F244" s="1392"/>
      <c r="G244" s="1392"/>
      <c r="H244" s="1392"/>
      <c r="I244" s="1392"/>
      <c r="J244" s="1392"/>
      <c r="K244" s="1392"/>
      <c r="L244" s="1392"/>
      <c r="M244" s="1392"/>
      <c r="N244" s="1392"/>
      <c r="O244" s="428"/>
      <c r="S244" s="110"/>
    </row>
    <row r="245" spans="1:19" ht="38.25" customHeight="1" x14ac:dyDescent="0.2">
      <c r="A245" s="92"/>
      <c r="B245" s="94"/>
      <c r="C245" s="144"/>
      <c r="D245" s="967"/>
      <c r="E245" s="444" t="str">
        <f>Translations!$B$2080</f>
        <v>General note:</v>
      </c>
      <c r="F245" s="450"/>
      <c r="G245" s="1398"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8"/>
      <c r="I245" s="1398"/>
      <c r="J245" s="1398"/>
      <c r="K245" s="1398"/>
      <c r="L245" s="1398"/>
      <c r="M245" s="1398"/>
      <c r="N245" s="1398"/>
      <c r="O245" s="428"/>
      <c r="S245" s="110"/>
    </row>
    <row r="246" spans="1:19" ht="12.75" customHeight="1" x14ac:dyDescent="0.2">
      <c r="A246" s="92"/>
      <c r="B246" s="94"/>
      <c r="C246" s="144"/>
      <c r="D246" s="967"/>
      <c r="E246" s="451"/>
      <c r="F246" s="443"/>
      <c r="G246" s="1396" t="str">
        <f ca="1">HYPERLINK("#"&amp;ADDRESS(MATCH($S246,F_Tools!$S:$S,0),3,,,F_Tools!$U$2),CONST_LinkToCPTool)</f>
        <v>Please click on this link to go to the "tool for calculation of the carbon price due".</v>
      </c>
      <c r="H246" s="1385"/>
      <c r="I246" s="1385"/>
      <c r="J246" s="1385"/>
      <c r="K246" s="1385"/>
      <c r="L246" s="1385"/>
      <c r="M246" s="1385"/>
      <c r="N246" s="1385"/>
      <c r="O246" s="428"/>
      <c r="R246" s="104" t="s">
        <v>4016</v>
      </c>
      <c r="S246" s="105">
        <v>2</v>
      </c>
    </row>
    <row r="247" spans="1:19" ht="25.5" customHeight="1" x14ac:dyDescent="0.2">
      <c r="A247" s="92"/>
      <c r="B247" s="94"/>
      <c r="C247" s="144"/>
      <c r="D247" s="967"/>
      <c r="E247" s="413" t="str">
        <f>Translations!$B$530</f>
        <v>Type of instrument (carbon pricing)</v>
      </c>
      <c r="F247" s="414"/>
      <c r="G247" s="1380" t="str">
        <f>Translations!$B$531</f>
        <v>Please select from the drop-down list whether the type of carbon price is an emissions trading system (ETS), a carbon tax, a combination of instruments, or other type of carbon pricing instrument.</v>
      </c>
      <c r="H247" s="1380"/>
      <c r="I247" s="1380"/>
      <c r="J247" s="1380"/>
      <c r="K247" s="1380"/>
      <c r="L247" s="1380"/>
      <c r="M247" s="1380"/>
      <c r="N247" s="1380"/>
      <c r="O247" s="428"/>
      <c r="S247" s="110"/>
    </row>
    <row r="248" spans="1:19" ht="36" x14ac:dyDescent="0.2">
      <c r="A248" s="92"/>
      <c r="B248" s="94"/>
      <c r="C248" s="144"/>
      <c r="D248" s="967"/>
      <c r="E248" s="413" t="str">
        <f>Translations!$B$532</f>
        <v>Share of total embedded emissions covered by the carbon price</v>
      </c>
      <c r="F248" s="414"/>
      <c r="G248" s="1380"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80"/>
      <c r="I248" s="1380"/>
      <c r="J248" s="1380"/>
      <c r="K248" s="1380"/>
      <c r="L248" s="1380"/>
      <c r="M248" s="1380"/>
      <c r="N248" s="1380"/>
      <c r="O248" s="428"/>
      <c r="S248" s="110"/>
    </row>
    <row r="249" spans="1:19" ht="36" x14ac:dyDescent="0.2">
      <c r="A249" s="92"/>
      <c r="B249" s="94"/>
      <c r="C249" s="144"/>
      <c r="D249" s="967"/>
      <c r="E249" s="413" t="str">
        <f>Translations!$B$608</f>
        <v>Embedded emissions covered by the carbon price</v>
      </c>
      <c r="F249" s="414"/>
      <c r="G249" s="1380" t="str">
        <f>Translations!$B$2081</f>
        <v>Based on your input on the share of embedded emissions covered by a carbon price, the related part of the specific embedded emissions of the good are displayed here in t CO2e per tonne product (or per MWh electricity).</v>
      </c>
      <c r="H249" s="1383"/>
      <c r="I249" s="1383"/>
      <c r="J249" s="1383"/>
      <c r="K249" s="1383"/>
      <c r="L249" s="1383"/>
      <c r="M249" s="1383"/>
      <c r="N249" s="1383"/>
      <c r="O249" s="428"/>
      <c r="S249" s="110"/>
    </row>
    <row r="250" spans="1:19" ht="25.5" customHeight="1" x14ac:dyDescent="0.2">
      <c r="A250" s="92"/>
      <c r="B250" s="94"/>
      <c r="C250" s="144"/>
      <c r="D250" s="967"/>
      <c r="E250" s="413" t="str">
        <f>Translations!$B$534</f>
        <v>Currency</v>
      </c>
      <c r="F250" s="414"/>
      <c r="G250" s="1380" t="str">
        <f>Translations!$B$2082</f>
        <v>Please select the code for the applicable currency in which the carbon price is being due. The next column displays the full name of the currency.</v>
      </c>
      <c r="H250" s="1380"/>
      <c r="I250" s="1380"/>
      <c r="J250" s="1380"/>
      <c r="K250" s="1380"/>
      <c r="L250" s="1380"/>
      <c r="M250" s="1380"/>
      <c r="N250" s="1380"/>
      <c r="O250" s="428"/>
      <c r="S250" s="110"/>
    </row>
    <row r="251" spans="1:19" ht="36" customHeight="1" x14ac:dyDescent="0.2">
      <c r="A251" s="92"/>
      <c r="B251" s="94"/>
      <c r="C251" s="144"/>
      <c r="D251" s="967"/>
      <c r="E251" s="413" t="str">
        <f>Translations!$B$350</f>
        <v>Carbon price (CP) due (local currency)</v>
      </c>
      <c r="F251" s="414"/>
      <c r="G251" s="1380"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80"/>
      <c r="I251" s="1380"/>
      <c r="J251" s="1380"/>
      <c r="K251" s="1380"/>
      <c r="L251" s="1380"/>
      <c r="M251" s="1380"/>
      <c r="N251" s="1380"/>
      <c r="O251" s="428"/>
      <c r="S251" s="110"/>
    </row>
    <row r="252" spans="1:19" ht="25.7" customHeight="1" x14ac:dyDescent="0.2">
      <c r="A252" s="92"/>
      <c r="B252" s="94"/>
      <c r="C252" s="144"/>
      <c r="D252" s="967"/>
      <c r="E252" s="413" t="str">
        <f>Translations!$B$537</f>
        <v>Type of rebate</v>
      </c>
      <c r="F252" s="414"/>
      <c r="G252" s="1380" t="str">
        <f>Translations!$B$538</f>
        <v>Please select from the drop-down list whether the type of rebate or other form of compensation is via free allocation, financial compensation, tax deduction, a combination or any other type of rebate or compensation.</v>
      </c>
      <c r="H252" s="1380"/>
      <c r="I252" s="1380"/>
      <c r="J252" s="1380"/>
      <c r="K252" s="1380"/>
      <c r="L252" s="1380"/>
      <c r="M252" s="1380"/>
      <c r="N252" s="1380"/>
      <c r="O252" s="428"/>
      <c r="S252" s="110"/>
    </row>
    <row r="253" spans="1:19" ht="36" customHeight="1" x14ac:dyDescent="0.2">
      <c r="A253" s="92"/>
      <c r="B253" s="94"/>
      <c r="C253" s="144"/>
      <c r="D253" s="967"/>
      <c r="E253" s="413" t="str">
        <f>Translations!$B$539</f>
        <v>Share of embedded emissions covered by the rebate</v>
      </c>
      <c r="F253" s="414"/>
      <c r="G253" s="1380"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80"/>
      <c r="I253" s="1380"/>
      <c r="J253" s="1380"/>
      <c r="K253" s="1380"/>
      <c r="L253" s="1380"/>
      <c r="M253" s="1380"/>
      <c r="N253" s="1380"/>
      <c r="O253" s="428"/>
      <c r="S253" s="110"/>
    </row>
    <row r="254" spans="1:19" ht="25.5" customHeight="1" x14ac:dyDescent="0.2">
      <c r="A254" s="92"/>
      <c r="B254" s="94"/>
      <c r="C254" s="144"/>
      <c r="D254" s="967"/>
      <c r="E254" s="413" t="str">
        <f>Translations!$B$609</f>
        <v>Embedded emissions covered by rebate</v>
      </c>
      <c r="F254" s="414"/>
      <c r="G254" s="1380" t="str">
        <f>Translations!$B$2084</f>
        <v>Based on your input on the share of embedded emissions covered by a carbon price rebate, the related part of the specific embedded emissions of the good are displayed here in t CO2e per tonne product (or per MWh electricity).</v>
      </c>
      <c r="H254" s="1383"/>
      <c r="I254" s="1383"/>
      <c r="J254" s="1383"/>
      <c r="K254" s="1383"/>
      <c r="L254" s="1383"/>
      <c r="M254" s="1383"/>
      <c r="N254" s="1383"/>
      <c r="O254" s="428"/>
      <c r="S254" s="110"/>
    </row>
    <row r="255" spans="1:19" ht="25.5" customHeight="1" x14ac:dyDescent="0.2">
      <c r="A255" s="92"/>
      <c r="B255" s="94"/>
      <c r="C255" s="144"/>
      <c r="D255" s="967"/>
      <c r="E255" s="413" t="str">
        <f>Translations!$B$1872</f>
        <v>Amount of rebate (per produced t or MWh)</v>
      </c>
      <c r="F255" s="414"/>
      <c r="G255" s="1380" t="str">
        <f>Translations!$B$2085</f>
        <v>Please enter here the rebate per tonne or MWh (as applicable) of product covered by the rebate in the relevant currency. Where the tool in sheet F was used, values should equal results displayed in column M there.</v>
      </c>
      <c r="H255" s="1380"/>
      <c r="I255" s="1380"/>
      <c r="J255" s="1380"/>
      <c r="K255" s="1380"/>
      <c r="L255" s="1380"/>
      <c r="M255" s="1380"/>
      <c r="N255" s="1380"/>
      <c r="O255" s="428"/>
      <c r="S255" s="110"/>
    </row>
    <row r="256" spans="1:19" ht="25.5" customHeight="1" x14ac:dyDescent="0.2">
      <c r="A256" s="92"/>
      <c r="B256" s="94"/>
      <c r="C256" s="144"/>
      <c r="D256" s="914"/>
      <c r="E256" s="243" t="str">
        <f>Translations!$B$353</f>
        <v>Result: Effective CP due (per produced t or MWh)</v>
      </c>
      <c r="F256" s="243"/>
      <c r="G256" s="1407" t="str">
        <f>Translations!$B$2086</f>
        <v>The result is the effective carbon price due per tonne of CO2 equivalent, i.e. the carbon price due less any rebates. Where the tool in sheet F was used, values should equal results displayed in column N there.</v>
      </c>
      <c r="H256" s="1407"/>
      <c r="I256" s="1407"/>
      <c r="J256" s="1407"/>
      <c r="K256" s="1407"/>
      <c r="L256" s="1407"/>
      <c r="M256" s="1407"/>
      <c r="N256" s="1407"/>
      <c r="O256" s="428"/>
      <c r="S256" s="110"/>
    </row>
    <row r="257" spans="1:19" ht="5.0999999999999996" customHeight="1" x14ac:dyDescent="0.2">
      <c r="A257" s="92"/>
      <c r="B257" s="94"/>
      <c r="C257" s="144"/>
      <c r="D257" s="914"/>
      <c r="E257" s="915"/>
      <c r="F257" s="915"/>
      <c r="G257" s="915"/>
      <c r="H257" s="915"/>
      <c r="I257" s="915"/>
      <c r="J257" s="915"/>
      <c r="K257" s="915"/>
      <c r="L257" s="915"/>
      <c r="M257" s="915"/>
      <c r="N257" s="144"/>
      <c r="O257" s="428"/>
      <c r="S257" s="110"/>
    </row>
    <row r="258" spans="1:19" ht="12.75" customHeight="1" x14ac:dyDescent="0.2">
      <c r="A258" s="92"/>
      <c r="B258" s="94"/>
      <c r="C258" s="144"/>
      <c r="D258" s="914"/>
      <c r="E258" s="1391" t="str">
        <f ca="1">HYPERLINK("#"&amp;S258,CONST_LinkFromGuidance)</f>
        <v>Please click on this link if you want to go back to the relevant section for data entry.</v>
      </c>
      <c r="F258" s="1391"/>
      <c r="G258" s="1391"/>
      <c r="H258" s="1391"/>
      <c r="I258" s="1391"/>
      <c r="J258" s="1391"/>
      <c r="K258" s="1391"/>
      <c r="L258" s="1391"/>
      <c r="M258" s="1391"/>
      <c r="N258" s="1391"/>
      <c r="O258" s="428"/>
      <c r="R258" s="91" t="s">
        <v>2836</v>
      </c>
      <c r="S258" s="114" t="str">
        <f ca="1">ADDRESS(9,4,,,Summary_Products!$BF$2)</f>
        <v>Summary_Products!$D$9</v>
      </c>
    </row>
    <row r="259" spans="1:19" ht="12.75" customHeight="1" thickBot="1" x14ac:dyDescent="0.3">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25">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25">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2" sqref="B2:E4"/>
    </sheetView>
  </sheetViews>
  <sheetFormatPr baseColWidth="10" defaultColWidth="11.42578125" defaultRowHeight="12.75" outlineLevelRow="1" x14ac:dyDescent="0.25"/>
  <cols>
    <col min="1" max="1" width="11.42578125" style="91" hidden="1" customWidth="1"/>
    <col min="2" max="2" width="2.7109375" style="93" customWidth="1"/>
    <col min="3" max="4" width="3.7109375" style="93" customWidth="1"/>
    <col min="5" max="6" width="25.7109375" style="93" customWidth="1"/>
    <col min="7" max="19" width="11.42578125" style="93"/>
    <col min="20" max="20" width="1.7109375" style="144" customWidth="1"/>
    <col min="21" max="21" width="11.42578125" style="93" hidden="1" customWidth="1"/>
    <col min="22" max="41" width="11.42578125" style="91" hidden="1" customWidth="1"/>
    <col min="42" max="16384" width="11.42578125" style="93"/>
  </cols>
  <sheetData>
    <row r="1" spans="1:41" s="91" customFormat="1" ht="13.5" hidden="1" thickBot="1" x14ac:dyDescent="0.3">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 customHeight="1" thickBot="1" x14ac:dyDescent="0.3">
      <c r="A2" s="92"/>
      <c r="B2" s="1166" t="str">
        <f>Translations!$B$544</f>
        <v>Summary of production processes</v>
      </c>
      <c r="C2" s="1167"/>
      <c r="D2" s="1167"/>
      <c r="E2" s="1168"/>
      <c r="F2" s="1175" t="str">
        <f>Translations!$B$11</f>
        <v>Navigation Area:</v>
      </c>
      <c r="G2" s="1176"/>
      <c r="H2" s="1163" t="str">
        <f ca="1">HYPERLINK("#"&amp;ADDRESS(2,3,,,a_Contents!$U$2),a_Contents!$B$2)</f>
        <v>Table of contents</v>
      </c>
      <c r="I2" s="1164"/>
      <c r="J2" s="1163" t="str">
        <f ca="1">HYPERLINK("#"&amp;ADDRESS(2,3,,,G_FurtherGuidance!$U$2),G_FurtherGuidance!$B$2)</f>
        <v>Further Guidance</v>
      </c>
      <c r="K2" s="1164"/>
      <c r="L2" s="1163"/>
      <c r="M2" s="1164"/>
      <c r="N2" s="1163" t="str">
        <f ca="1">HYPERLINK("#"&amp;ADDRESS(2,3,,,Summary_Products!$BF$2),Summary_Products!$BF$2)</f>
        <v>Summary_Products</v>
      </c>
      <c r="O2" s="1164"/>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25">
      <c r="A3" s="92"/>
      <c r="B3" s="1169"/>
      <c r="C3" s="1170"/>
      <c r="D3" s="1170"/>
      <c r="E3" s="1171"/>
      <c r="F3" s="1165"/>
      <c r="G3" s="1165"/>
      <c r="H3" s="1165" t="str">
        <f>IFERROR(HYPERLINK("#"&amp;ADDRESS(ROW($A$1)+MATCH(V3,$A:$A,0)-1,3),INDEX($V:$V,MATCH(V3,$A:$A,0))),"")</f>
        <v>Installation &amp; processes</v>
      </c>
      <c r="I3" s="1165"/>
      <c r="J3" s="1165" t="str">
        <f>IFERROR(HYPERLINK("#"&amp;ADDRESS(ROW($A$1)+MATCH(X3,$A:$A,0)-1,3),INDEX($V:$V,MATCH(X3,$A:$A,0))),"")</f>
        <v>GHG &amp; SEE</v>
      </c>
      <c r="K3" s="1165"/>
      <c r="L3" s="1165" t="str">
        <f>IFERROR(HYPERLINK("#"&amp;ADDRESS(ROW($A$1)+MATCH(Z3,$A:$A,0)-1,3),INDEX($V:$V,MATCH(Z3,$A:$A,0))),"")</f>
        <v>Detailed overview</v>
      </c>
      <c r="M3" s="1165"/>
      <c r="N3" s="1165" t="str">
        <f>IFERROR(HYPERLINK("#"&amp;ADDRESS(ROW($A$1)+MATCH(AB3,$A:$A,0)-1,3),INDEX($V:$V,MATCH(AB3,$A:$A,0))),"")</f>
        <v/>
      </c>
      <c r="O3" s="1165"/>
      <c r="P3" s="144"/>
      <c r="Q3" s="971"/>
      <c r="R3" s="971"/>
      <c r="S3" s="971"/>
      <c r="T3" s="428"/>
      <c r="V3" s="302">
        <v>1</v>
      </c>
      <c r="W3" s="303"/>
      <c r="X3" s="303">
        <v>2</v>
      </c>
      <c r="Y3" s="303"/>
      <c r="Z3" s="303">
        <v>3</v>
      </c>
      <c r="AA3" s="303"/>
      <c r="AB3" s="304">
        <v>4</v>
      </c>
    </row>
    <row r="4" spans="1:41" ht="14.45" customHeight="1" thickBot="1" x14ac:dyDescent="0.3">
      <c r="A4" s="92"/>
      <c r="B4" s="1172"/>
      <c r="C4" s="1173"/>
      <c r="D4" s="1173"/>
      <c r="E4" s="1174"/>
      <c r="F4" s="1165"/>
      <c r="G4" s="1165"/>
      <c r="H4" s="1165" t="str">
        <f>IFERROR(HYPERLINK("#"&amp;ADDRESS(ROW($A$1)+MATCH(V4,$A:$A,0)-1,3),INDEX($V:$V,MATCH(V4,$A:$A,0))),"")</f>
        <v/>
      </c>
      <c r="I4" s="1165"/>
      <c r="J4" s="1165" t="str">
        <f>IFERROR(HYPERLINK("#"&amp;ADDRESS(ROW($A$1)+MATCH(X4,$A:$A,0)-1,3),INDEX($V:$V,MATCH(X4,$A:$A,0))),"")</f>
        <v/>
      </c>
      <c r="K4" s="1165"/>
      <c r="L4" s="1165" t="str">
        <f>IFERROR(HYPERLINK("#"&amp;ADDRESS(ROW($A$1)+MATCH(Z4,$A:$A,0)-1,3),INDEX($V:$V,MATCH(Z4,$A:$A,0))),"")</f>
        <v/>
      </c>
      <c r="M4" s="1165"/>
      <c r="N4" s="1165" t="str">
        <f>IFERROR(HYPERLINK("#"&amp;ADDRESS(ROW($A$1)+MATCH(AB4,$A:$A,0)-1,3),INDEX($V:$V,MATCH(AB4,$A:$A,0))),"")</f>
        <v/>
      </c>
      <c r="O4" s="1165"/>
      <c r="P4" s="144"/>
      <c r="Q4" s="144"/>
      <c r="R4" s="144"/>
      <c r="S4" s="144"/>
      <c r="T4" s="428"/>
      <c r="V4" s="305">
        <v>5</v>
      </c>
      <c r="W4" s="156"/>
      <c r="X4" s="156">
        <v>6</v>
      </c>
      <c r="Y4" s="156"/>
      <c r="Z4" s="156">
        <v>7</v>
      </c>
      <c r="AA4" s="156"/>
      <c r="AB4" s="306">
        <v>8</v>
      </c>
    </row>
    <row r="5" spans="1:41" x14ac:dyDescent="0.25">
      <c r="A5" s="92"/>
      <c r="B5" s="94"/>
      <c r="C5" s="144"/>
      <c r="D5" s="144"/>
      <c r="E5" s="144"/>
      <c r="F5" s="144"/>
      <c r="G5" s="144"/>
      <c r="H5" s="144"/>
      <c r="I5" s="144"/>
      <c r="J5" s="144"/>
      <c r="K5" s="144"/>
      <c r="L5" s="144"/>
      <c r="M5" s="144"/>
      <c r="N5" s="144"/>
      <c r="O5" s="144"/>
      <c r="P5" s="144"/>
      <c r="Q5" s="144"/>
      <c r="R5" s="144"/>
      <c r="S5" s="144"/>
      <c r="T5" s="428"/>
    </row>
    <row r="6" spans="1:41" ht="18" customHeight="1" x14ac:dyDescent="0.25">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25">
      <c r="A7" s="92"/>
      <c r="B7" s="94"/>
      <c r="C7" s="144"/>
      <c r="D7" s="144"/>
      <c r="E7" s="144"/>
      <c r="F7" s="144"/>
      <c r="G7" s="144"/>
      <c r="H7" s="144"/>
      <c r="I7" s="144"/>
      <c r="J7" s="144"/>
      <c r="K7" s="144"/>
      <c r="L7" s="144"/>
      <c r="M7" s="144"/>
      <c r="N7" s="144"/>
      <c r="O7" s="144"/>
      <c r="P7" s="144"/>
      <c r="Q7" s="144"/>
      <c r="R7" s="144"/>
      <c r="S7" s="144"/>
      <c r="T7" s="428"/>
    </row>
    <row r="8" spans="1:41" ht="12.75" customHeight="1" x14ac:dyDescent="0.25">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25">
      <c r="A9" s="92"/>
      <c r="B9" s="94"/>
      <c r="C9" s="144"/>
      <c r="D9" s="144"/>
      <c r="E9" s="144"/>
      <c r="F9" s="144"/>
      <c r="G9" s="144"/>
      <c r="H9" s="144"/>
      <c r="I9" s="144"/>
      <c r="J9" s="144"/>
      <c r="K9" s="144"/>
      <c r="L9" s="144"/>
      <c r="M9" s="144"/>
      <c r="N9" s="144"/>
      <c r="O9" s="144"/>
      <c r="P9" s="144"/>
      <c r="Q9" s="144"/>
      <c r="R9" s="144"/>
      <c r="S9" s="144"/>
      <c r="T9" s="428"/>
    </row>
    <row r="10" spans="1:41" ht="12.75" customHeight="1" x14ac:dyDescent="0.25">
      <c r="A10" s="92"/>
      <c r="B10" s="94"/>
      <c r="C10" s="144"/>
      <c r="D10" s="144"/>
      <c r="E10" s="144" t="str">
        <f>A_InstData!E20</f>
        <v>Name of the installation (English name):</v>
      </c>
      <c r="F10" s="144"/>
      <c r="G10" s="1232" t="str">
        <f>IF(A_InstData!I20="","",A_InstData!I20)</f>
        <v/>
      </c>
      <c r="H10" s="1232"/>
      <c r="I10" s="1232"/>
      <c r="J10" s="144"/>
      <c r="K10" s="166" t="str">
        <f>Translations!$B$548</f>
        <v>Reporting period start:</v>
      </c>
      <c r="L10" s="381" t="str">
        <f>a_Contents!I64</f>
        <v/>
      </c>
      <c r="M10" s="144"/>
      <c r="N10" s="144"/>
      <c r="O10" s="144"/>
      <c r="P10" s="144"/>
      <c r="Q10" s="144"/>
      <c r="R10" s="144"/>
      <c r="S10" s="144"/>
      <c r="T10" s="428"/>
    </row>
    <row r="11" spans="1:41" ht="12.75" customHeight="1" x14ac:dyDescent="0.25">
      <c r="A11" s="92"/>
      <c r="B11" s="94"/>
      <c r="C11" s="144"/>
      <c r="D11" s="144"/>
      <c r="E11" s="144" t="str">
        <f>A_InstData!E21</f>
        <v>Street, Number:</v>
      </c>
      <c r="F11" s="144"/>
      <c r="G11" s="1233" t="str">
        <f>IF(A_InstData!I21="","",A_InstData!I21)</f>
        <v/>
      </c>
      <c r="H11" s="1233"/>
      <c r="I11" s="1233"/>
      <c r="J11" s="144"/>
      <c r="K11" s="166" t="str">
        <f>Translations!$B$549</f>
        <v>Reporting period end:</v>
      </c>
      <c r="L11" s="381" t="str">
        <f>a_Contents!K64</f>
        <v/>
      </c>
      <c r="M11" s="144"/>
      <c r="N11" s="144"/>
      <c r="O11" s="144"/>
      <c r="P11" s="144"/>
      <c r="Q11" s="144"/>
      <c r="R11" s="144"/>
      <c r="S11" s="144"/>
      <c r="T11" s="428"/>
    </row>
    <row r="12" spans="1:41" ht="12.75" customHeight="1" x14ac:dyDescent="0.25">
      <c r="A12" s="92"/>
      <c r="B12" s="94"/>
      <c r="C12" s="144"/>
      <c r="D12" s="144"/>
      <c r="E12" s="144" t="str">
        <f>Translations!$B$76</f>
        <v>Economic activity:</v>
      </c>
      <c r="F12" s="144"/>
      <c r="G12" s="1233" t="str">
        <f>IF(A_InstData!I22="","",A_InstData!I22)</f>
        <v/>
      </c>
      <c r="H12" s="1233"/>
      <c r="I12" s="1233"/>
      <c r="J12" s="144"/>
      <c r="K12" s="144"/>
      <c r="L12" s="144"/>
      <c r="M12" s="144"/>
      <c r="N12" s="144"/>
      <c r="O12" s="144"/>
      <c r="P12" s="144"/>
      <c r="Q12" s="144"/>
      <c r="R12" s="144"/>
      <c r="S12" s="144"/>
      <c r="T12" s="428"/>
    </row>
    <row r="13" spans="1:41" ht="12.75" customHeight="1" x14ac:dyDescent="0.25">
      <c r="A13" s="92"/>
      <c r="B13" s="94"/>
      <c r="C13" s="144"/>
      <c r="D13" s="144"/>
      <c r="E13" s="144" t="str">
        <f>A_InstData!$E$25</f>
        <v>City:</v>
      </c>
      <c r="F13" s="144"/>
      <c r="G13" s="1233" t="str">
        <f>IF(A_InstData!I25="","",A_InstData!I25)</f>
        <v/>
      </c>
      <c r="H13" s="1233"/>
      <c r="I13" s="1233"/>
      <c r="J13" s="144"/>
      <c r="L13" s="166" t="str">
        <f>Translations!$B$2112</f>
        <v>Carbon price instrument:</v>
      </c>
      <c r="M13" s="1442"/>
      <c r="N13" s="1443"/>
      <c r="O13" s="1443"/>
      <c r="P13" s="1443"/>
      <c r="Q13" s="1443"/>
      <c r="R13" s="1443"/>
      <c r="S13" s="1444"/>
      <c r="T13" s="428"/>
    </row>
    <row r="14" spans="1:41" ht="12.75" customHeight="1" x14ac:dyDescent="0.25">
      <c r="A14" s="92"/>
      <c r="B14" s="94"/>
      <c r="C14" s="144"/>
      <c r="D14" s="144"/>
      <c r="E14" s="144" t="str">
        <f>Translations!$B$80</f>
        <v>Country:</v>
      </c>
      <c r="F14" s="144"/>
      <c r="G14" s="1233" t="str">
        <f>IF(A_InstData!I26="","",A_InstData!I26)</f>
        <v/>
      </c>
      <c r="H14" s="1233"/>
      <c r="I14" s="1233"/>
      <c r="J14" s="144"/>
      <c r="K14" s="144"/>
      <c r="M14" s="1408" t="str">
        <f>Translations!$B$2113</f>
        <v>Description and indication of legal act for the carbon price, and for possible rebate or other form of compensation obtained.</v>
      </c>
      <c r="N14" s="1408"/>
      <c r="O14" s="1408"/>
      <c r="P14" s="1408"/>
      <c r="Q14" s="1408"/>
      <c r="R14" s="1408"/>
      <c r="S14" s="1408"/>
      <c r="T14" s="428"/>
    </row>
    <row r="15" spans="1:41" ht="12.75" customHeight="1" x14ac:dyDescent="0.25">
      <c r="A15" s="92"/>
      <c r="B15" s="94"/>
      <c r="C15" s="144"/>
      <c r="D15" s="144"/>
      <c r="E15" s="144" t="str">
        <f>Translations!$B$81</f>
        <v>UNLOCODE:</v>
      </c>
      <c r="F15" s="144"/>
      <c r="G15" s="1233" t="str">
        <f>IF(A_InstData!I27="","",A_InstData!I27)</f>
        <v/>
      </c>
      <c r="H15" s="1233"/>
      <c r="I15" s="1233"/>
      <c r="J15" s="144"/>
      <c r="K15" s="144"/>
      <c r="L15" s="441"/>
      <c r="M15" s="1409"/>
      <c r="N15" s="1409"/>
      <c r="O15" s="1409"/>
      <c r="P15" s="1409"/>
      <c r="Q15" s="1409"/>
      <c r="R15" s="1409"/>
      <c r="S15" s="1409"/>
      <c r="T15" s="428"/>
    </row>
    <row r="16" spans="1:41" ht="12.75" customHeight="1" x14ac:dyDescent="0.25">
      <c r="A16" s="92"/>
      <c r="B16" s="94"/>
      <c r="C16" s="144"/>
      <c r="D16" s="144"/>
      <c r="E16" s="144" t="str">
        <f>Translations!$B$82</f>
        <v>Coordinates of the main emission source (latitude):</v>
      </c>
      <c r="F16" s="144"/>
      <c r="G16" s="1233" t="str">
        <f>IF(A_InstData!I28="","",A_InstData!I28)</f>
        <v/>
      </c>
      <c r="H16" s="1233"/>
      <c r="I16" s="1233"/>
      <c r="J16" s="144"/>
      <c r="L16" s="166" t="str">
        <f>Translations!$B$2114</f>
        <v>Any additional information:</v>
      </c>
      <c r="M16" s="1442"/>
      <c r="N16" s="1443"/>
      <c r="O16" s="1443"/>
      <c r="P16" s="1443"/>
      <c r="Q16" s="1443"/>
      <c r="R16" s="1443"/>
      <c r="S16" s="1444"/>
      <c r="T16" s="428"/>
    </row>
    <row r="17" spans="1:41" ht="12.75" customHeight="1" x14ac:dyDescent="0.25">
      <c r="A17" s="92"/>
      <c r="B17" s="94"/>
      <c r="C17" s="144"/>
      <c r="D17" s="144"/>
      <c r="E17" s="144" t="str">
        <f>Translations!$B$83</f>
        <v>Coordinates of the main emission source (longitude):</v>
      </c>
      <c r="F17" s="144"/>
      <c r="G17" s="1277" t="str">
        <f>IF(A_InstData!I29="","",A_InstData!I29)</f>
        <v/>
      </c>
      <c r="H17" s="1277"/>
      <c r="I17" s="1277"/>
      <c r="J17" s="144"/>
      <c r="K17" s="144"/>
      <c r="M17" s="1408" t="str">
        <f>Translations!$B$2115</f>
        <v>Any additional information you would like to provide to the reporting declarant.</v>
      </c>
      <c r="N17" s="1408"/>
      <c r="O17" s="1408"/>
      <c r="P17" s="1408"/>
      <c r="Q17" s="1408"/>
      <c r="R17" s="1408"/>
      <c r="S17" s="1408"/>
      <c r="T17" s="428"/>
    </row>
    <row r="18" spans="1:41" ht="12.75" customHeight="1" x14ac:dyDescent="0.25">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25">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25">
      <c r="A21" s="92"/>
      <c r="B21" s="94"/>
      <c r="C21" s="144"/>
      <c r="D21" s="418" t="str">
        <f>A_InstData!D62</f>
        <v>G1</v>
      </c>
      <c r="E21" s="420" t="str">
        <f>IF(INDEX(CNTR_List_ExistGoodTypes,ROWS(D$21:D21))=CONST_NA,"",INDEX(CNTR_List_ExistGoodTypes,ROWS(D$21:D21)))</f>
        <v/>
      </c>
      <c r="F21" s="420" t="str">
        <f>IF($E21="","",IF(A_InstData!G62="","",IF(A_InstData!G62=CONST_PleaseSelect,"",A_InstData!G62)))</f>
        <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t="str">
        <f t="shared" ref="X21:X30" si="0">IF(E21="","",MATCH(E21,CONST_LIST_Goods,0))</f>
        <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25">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25">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25">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25">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25">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25">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25">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25">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25">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25">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25">
      <c r="A33" s="92"/>
      <c r="B33" s="94"/>
      <c r="C33" s="144"/>
      <c r="D33" s="229" t="str">
        <f>A_InstData!D83</f>
        <v>P1</v>
      </c>
      <c r="E33" s="420" t="str">
        <f>IF(INDEX(CNTR_List_ExistProdProcNames,ROWS(D$33:D33))=CONST_NA,"",INDEX(CNTR_List_ExistProdProcNames,ROWS(D$33:D33)))</f>
        <v/>
      </c>
      <c r="F33" s="420" t="str">
        <f t="shared" ref="F33:F42" si="8">IF(E33="","",INDEX(CNTR_List_ExistProdProc,MATCH(E33,CNTR_List_ExistProdProcNames,0)))</f>
        <v/>
      </c>
      <c r="G33" s="844" t="str">
        <f>IF($F33="","",IF(INDEX(A_InstData!F$83:F$92,MATCH($F33,CNTR_List_ExistProdProc,0))="","",INDEX(A_InstData!F$83:F$92,MATCH($F33,CNTR_List_ExistProdProc,0))))</f>
        <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t="str">
        <f t="shared" ref="X33:X42" si="9">IF(F33="","",MATCH(F33,CONST_LIST_Goods,0))</f>
        <v/>
      </c>
      <c r="Y33" s="105" t="str">
        <f>IF(G33="","",IF(G33=CONST_OnlyDirProd,0,MATCH(G33,INDEX(Parameters_Constants!$AC$89:$AM$106,$X33,),0)))</f>
        <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25">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25">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25">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25">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25">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25">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25">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25">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25">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25">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25">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25">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25">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25">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25">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25">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25">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25">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25">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25">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25">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25">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25">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25">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25">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25">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25">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25">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25">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25">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25">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25">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25">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25">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25">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25">
      <c r="A71" s="92"/>
      <c r="B71" s="94"/>
      <c r="C71" s="144"/>
      <c r="D71" s="229" t="str">
        <f>A_InstData!D83</f>
        <v>P1</v>
      </c>
      <c r="E71" s="424" t="str">
        <f t="shared" ref="E71:F80" si="19">E33</f>
        <v/>
      </c>
      <c r="F71" s="420" t="str">
        <f t="shared" si="19"/>
        <v/>
      </c>
      <c r="G71" s="230" t="str">
        <f t="shared" ref="G71:G81" si="20">CONST_tCO2eq</f>
        <v>tCO2e</v>
      </c>
      <c r="H71" s="231" t="str">
        <f>IF($E33="","",SUMIFS(D_Processes!$T:$T,D_Processes!$R:$R,CONST_EmDir&amp;$E33))</f>
        <v/>
      </c>
      <c r="I71" s="231" t="str">
        <f>IF($E33="","",SUMIFS(D_Processes!$T:$T,D_Processes!$R:$R,CONST_EmDirHeat&amp;$E33))</f>
        <v/>
      </c>
      <c r="J71" s="231" t="str">
        <f>IF($E33="","",SUMIFS(D_Processes!$T:$T,D_Processes!$R:$R,CONST_EmDirWasteGases&amp;$E33))</f>
        <v/>
      </c>
      <c r="K71" s="231" t="str">
        <f t="shared" ref="K71:K80" si="21">IF(E33="","",SUM(H71:J71))</f>
        <v/>
      </c>
      <c r="L71" s="231" t="str">
        <f>IF($E33="","",SUMIFS(D_Processes!$T:$T,D_Processes!$S:$S,CONST_CNTR_EmbedEmInDir&amp;$E33))</f>
        <v/>
      </c>
      <c r="M71" s="898"/>
      <c r="N71" s="135" t="str">
        <f>IF($E33="","",SUMIFS(D_Processes!$T:$T,D_Processes!$R:$R,CONST_CNTR_TotProd&amp;$E33))</f>
        <v/>
      </c>
      <c r="O71" s="155" t="str">
        <f t="shared" ref="O71:O80" si="22">IF($E71="","",IFERROR(INDEX(CONST_LIST_GoodsUnit,MATCH($F71,CONST_LIST_Goods,0)),""))</f>
        <v/>
      </c>
      <c r="P71" s="144"/>
      <c r="Q71" s="144"/>
      <c r="R71" s="144"/>
      <c r="S71" s="144"/>
      <c r="T71" s="428"/>
    </row>
    <row r="72" spans="1:22" ht="12.75" customHeight="1" x14ac:dyDescent="0.25">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25">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25">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25">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25">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25">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25">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25">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25">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25">
      <c r="A81" s="92"/>
      <c r="B81" s="94"/>
      <c r="C81" s="144"/>
      <c r="D81" s="144"/>
      <c r="E81" s="292" t="str">
        <f>Translations!$B$316</f>
        <v>Total</v>
      </c>
      <c r="F81" s="292"/>
      <c r="G81" s="293" t="str">
        <f t="shared" si="20"/>
        <v>tCO2e</v>
      </c>
      <c r="H81" s="236" t="str">
        <f>IF(COUNT(H71:H80)&gt;0,SUM(H71:H80),"")</f>
        <v/>
      </c>
      <c r="I81" s="236" t="str">
        <f>IF(COUNT(I71:I80)&gt;0,SUM(I71:I80),"")</f>
        <v/>
      </c>
      <c r="J81" s="236" t="str">
        <f>IF(COUNT(J71:J80)&gt;0,SUM(J71:J80),"")</f>
        <v/>
      </c>
      <c r="K81" s="236" t="str">
        <f>IF(COUNT(K71:K80)&gt;0,SUM(K71:K80),"")</f>
        <v/>
      </c>
      <c r="L81" s="236" t="str">
        <f>IF(COUNT(L71:L80)&gt;0,SUM(L71:L80),"")</f>
        <v/>
      </c>
      <c r="M81" s="144"/>
      <c r="N81" s="144"/>
      <c r="O81" s="144"/>
      <c r="P81" s="144"/>
      <c r="Q81" s="144"/>
      <c r="R81" s="144"/>
      <c r="S81" s="144"/>
      <c r="T81" s="428"/>
    </row>
    <row r="82" spans="1:20" ht="5.0999999999999996" customHeight="1" x14ac:dyDescent="0.25">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25">
      <c r="A84" s="92"/>
      <c r="B84" s="94"/>
      <c r="C84" s="144"/>
      <c r="D84" s="166" t="s">
        <v>41</v>
      </c>
      <c r="E84" s="170" t="str">
        <f>Translations!$B$562</f>
        <v>Total emissions of the installation (from sheet "C_Emissions&amp;Energy")</v>
      </c>
      <c r="F84" s="170"/>
      <c r="G84" s="170"/>
      <c r="H84" s="170"/>
      <c r="I84" s="170"/>
      <c r="J84" s="237" t="str">
        <f>CONST_tCO2eq</f>
        <v>tCO2e</v>
      </c>
      <c r="K84" s="849" t="str">
        <f>'C_Emissions&amp;Energy'!L27</f>
        <v/>
      </c>
      <c r="L84" s="849" t="str">
        <f>'C_Emissions&amp;Energy'!M27</f>
        <v/>
      </c>
      <c r="M84" s="144"/>
      <c r="N84" s="144"/>
      <c r="O84" s="144"/>
      <c r="P84" s="144"/>
      <c r="Q84" s="144"/>
      <c r="R84" s="144"/>
      <c r="S84" s="144"/>
      <c r="T84" s="428"/>
    </row>
    <row r="85" spans="1:20" ht="12.75" customHeight="1" x14ac:dyDescent="0.25">
      <c r="A85" s="92"/>
      <c r="B85" s="94"/>
      <c r="C85" s="144"/>
      <c r="D85" s="166" t="s">
        <v>42</v>
      </c>
      <c r="E85" s="133" t="str">
        <f>Translations!$B$563</f>
        <v>Rest (= emissions not attributed to CBAM processes)</v>
      </c>
      <c r="F85" s="133"/>
      <c r="G85" s="133"/>
      <c r="H85" s="133"/>
      <c r="I85" s="133"/>
      <c r="J85" s="238" t="str">
        <f>CONST_tCO2eq</f>
        <v>tCO2e</v>
      </c>
      <c r="K85" s="231" t="str">
        <f>IF(COUNT(K69:K84)&gt;0,SUM(K84)-SUM(K81),"")</f>
        <v/>
      </c>
      <c r="L85" s="231" t="str">
        <f>IF(COUNT(L69:L84)&gt;0,SUM(L84)-SUM(L81),"")</f>
        <v/>
      </c>
      <c r="M85" s="144"/>
      <c r="N85" s="144"/>
      <c r="O85" s="144"/>
      <c r="P85" s="144"/>
      <c r="Q85" s="144"/>
      <c r="R85" s="144"/>
      <c r="S85" s="144"/>
      <c r="T85" s="428"/>
    </row>
    <row r="86" spans="1:20" ht="12.75" customHeight="1" x14ac:dyDescent="0.25">
      <c r="A86" s="92"/>
      <c r="B86" s="94"/>
      <c r="C86" s="144"/>
      <c r="D86" s="166" t="s">
        <v>43</v>
      </c>
      <c r="E86" s="136" t="str">
        <f>Translations!$B$564</f>
        <v>Rest (expressed as % of total)</v>
      </c>
      <c r="F86" s="136"/>
      <c r="G86" s="136"/>
      <c r="H86" s="136"/>
      <c r="I86" s="136"/>
      <c r="J86" s="239" t="s">
        <v>206</v>
      </c>
      <c r="K86" s="240" t="str">
        <f>IF(AND(COUNT(K84:K85)&gt;0,SUM(K84)&gt;0),K85/K84,"")</f>
        <v/>
      </c>
      <c r="L86" s="240" t="str">
        <f>IF(AND(COUNT(L84:L85)&gt;0,SUM(L84)&gt;0),L85/L84,"")</f>
        <v/>
      </c>
      <c r="M86" s="144"/>
      <c r="N86" s="144"/>
      <c r="O86" s="144"/>
      <c r="P86" s="144"/>
      <c r="Q86" s="144"/>
      <c r="R86" s="144"/>
      <c r="S86" s="144"/>
      <c r="T86" s="428"/>
    </row>
    <row r="87" spans="1:20" ht="38.85" customHeight="1" x14ac:dyDescent="0.25">
      <c r="A87" s="92"/>
      <c r="B87" s="94"/>
      <c r="C87" s="144"/>
      <c r="D87" s="144"/>
      <c r="E87" s="1441"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41"/>
      <c r="G87" s="1441"/>
      <c r="H87" s="1441"/>
      <c r="I87" s="1441"/>
      <c r="J87" s="1441"/>
      <c r="K87" s="1441"/>
      <c r="L87" s="1264"/>
      <c r="M87" s="144"/>
      <c r="N87" s="144"/>
      <c r="O87" s="144"/>
      <c r="P87" s="144"/>
      <c r="Q87" s="144"/>
      <c r="R87" s="144"/>
      <c r="S87" s="144"/>
      <c r="T87" s="428"/>
    </row>
    <row r="88" spans="1:20" ht="5.0999999999999996" customHeight="1" x14ac:dyDescent="0.25">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25">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15" customHeight="1" x14ac:dyDescent="0.25">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15" customHeight="1" x14ac:dyDescent="0.25">
      <c r="A91" s="92"/>
      <c r="B91" s="94"/>
      <c r="C91" s="972"/>
      <c r="D91" s="938"/>
      <c r="E91" s="804" t="str">
        <f>Translations!$B$568</f>
        <v>SE (direct)</v>
      </c>
      <c r="F91" s="1301" t="str">
        <f>Translations!$B$569</f>
        <v>Specific direct emissions of the production process, i.e. excluding any embedded emissions from any precursors consumed in the process.</v>
      </c>
      <c r="G91" s="1301"/>
      <c r="H91" s="1301"/>
      <c r="I91" s="1301"/>
      <c r="J91" s="1301"/>
      <c r="K91" s="1301"/>
      <c r="L91" s="1301"/>
      <c r="M91" s="1301"/>
      <c r="N91" s="1301"/>
      <c r="O91" s="144"/>
      <c r="P91" s="144"/>
      <c r="Q91" s="144"/>
      <c r="R91" s="144"/>
      <c r="S91" s="144"/>
      <c r="T91" s="428"/>
    </row>
    <row r="92" spans="1:20" ht="13.15" customHeight="1" x14ac:dyDescent="0.25">
      <c r="A92" s="92"/>
      <c r="B92" s="94"/>
      <c r="C92" s="972"/>
      <c r="D92" s="938"/>
      <c r="E92" s="805" t="str">
        <f>Translations!$B$570</f>
        <v>SEE (direct)</v>
      </c>
      <c r="F92" s="1303" t="str">
        <f>Translations!$B$571</f>
        <v>Specific embedded direct emissions of the production process, i.e. including any embedded emissions from any precursors consumed in the process.</v>
      </c>
      <c r="G92" s="1303"/>
      <c r="H92" s="1303"/>
      <c r="I92" s="1303"/>
      <c r="J92" s="1303"/>
      <c r="K92" s="1303"/>
      <c r="L92" s="1303"/>
      <c r="M92" s="1304"/>
      <c r="N92" s="1304"/>
      <c r="O92" s="144"/>
      <c r="P92" s="144"/>
      <c r="Q92" s="144"/>
      <c r="R92" s="144"/>
      <c r="S92" s="144"/>
      <c r="T92" s="428"/>
    </row>
    <row r="93" spans="1:20" ht="13.15" customHeight="1" x14ac:dyDescent="0.25">
      <c r="A93" s="92"/>
      <c r="B93" s="94"/>
      <c r="C93" s="972"/>
      <c r="D93" s="938"/>
      <c r="E93" s="805" t="str">
        <f>Translations!$B$572</f>
        <v>SE (indirect)</v>
      </c>
      <c r="F93" s="1303" t="str">
        <f>Translations!$B$573</f>
        <v>Specific indirect emissions of the production process, i.e. excluding any embedded indirect emissions from any precursors consumed in the process.</v>
      </c>
      <c r="G93" s="1304"/>
      <c r="H93" s="1304"/>
      <c r="I93" s="1304"/>
      <c r="J93" s="1304"/>
      <c r="K93" s="1304"/>
      <c r="L93" s="1304"/>
      <c r="M93" s="1304"/>
      <c r="N93" s="1304"/>
      <c r="O93" s="144"/>
      <c r="P93" s="144"/>
      <c r="Q93" s="144"/>
      <c r="R93" s="144"/>
      <c r="S93" s="144"/>
      <c r="T93" s="428"/>
    </row>
    <row r="94" spans="1:20" ht="13.15" customHeight="1" x14ac:dyDescent="0.25">
      <c r="A94" s="92"/>
      <c r="B94" s="94"/>
      <c r="C94" s="972"/>
      <c r="D94" s="938"/>
      <c r="E94" s="805" t="str">
        <f>Translations!$B$574</f>
        <v>SEE (indirect)</v>
      </c>
      <c r="F94" s="1303" t="str">
        <f>Translations!$B$575</f>
        <v>Specific embedded indirect emissions of the production process, i.e. including any embedded indirect emissions from any precursors consumed in the process.</v>
      </c>
      <c r="G94" s="1304"/>
      <c r="H94" s="1304"/>
      <c r="I94" s="1304"/>
      <c r="J94" s="1304"/>
      <c r="K94" s="1304"/>
      <c r="L94" s="1304"/>
      <c r="M94" s="1304"/>
      <c r="N94" s="1304"/>
      <c r="O94" s="144"/>
      <c r="P94" s="144"/>
      <c r="Q94" s="144"/>
      <c r="R94" s="144"/>
      <c r="S94" s="144"/>
      <c r="T94" s="428"/>
    </row>
    <row r="95" spans="1:20" ht="13.15" customHeight="1" x14ac:dyDescent="0.25">
      <c r="A95" s="92"/>
      <c r="B95" s="94"/>
      <c r="C95" s="972"/>
      <c r="D95" s="938"/>
      <c r="E95" s="805" t="str">
        <f>Translations!$B$576</f>
        <v>Electricity consumed</v>
      </c>
      <c r="F95" s="1303" t="str">
        <f>Translations!$B$577</f>
        <v>Specific electricity consumption within the production process.</v>
      </c>
      <c r="G95" s="1304"/>
      <c r="H95" s="1304"/>
      <c r="I95" s="1304"/>
      <c r="J95" s="1304"/>
      <c r="K95" s="1304"/>
      <c r="L95" s="1304"/>
      <c r="M95" s="1304"/>
      <c r="N95" s="1304"/>
      <c r="O95" s="144"/>
      <c r="P95" s="144"/>
      <c r="Q95" s="144"/>
      <c r="R95" s="144"/>
      <c r="S95" s="144"/>
      <c r="T95" s="428"/>
    </row>
    <row r="96" spans="1:20" ht="26.45" customHeight="1" x14ac:dyDescent="0.2">
      <c r="A96" s="92"/>
      <c r="B96" s="94"/>
      <c r="C96" s="144"/>
      <c r="D96" s="938"/>
      <c r="E96" s="805" t="str">
        <f>Translations!$B$480</f>
        <v>Embedded electricity</v>
      </c>
      <c r="F96" s="1303" t="str">
        <f>Translations!$B$2076</f>
        <v>Specific embedded electricity consumption of the production process, i.e. including any embedded electricity consumption in other production processes within the installation and purchased precursors.</v>
      </c>
      <c r="G96" s="1304"/>
      <c r="H96" s="1304"/>
      <c r="I96" s="1304"/>
      <c r="J96" s="1304"/>
      <c r="K96" s="1304"/>
      <c r="L96" s="1304"/>
      <c r="M96" s="1304"/>
      <c r="N96" s="1304"/>
      <c r="O96" s="954"/>
      <c r="P96" s="954"/>
      <c r="Q96" s="954"/>
      <c r="R96" s="954"/>
      <c r="S96" s="954"/>
      <c r="T96" s="428"/>
    </row>
    <row r="97" spans="1:41" ht="13.15" customHeight="1" x14ac:dyDescent="0.2">
      <c r="A97" s="92"/>
      <c r="B97" s="94"/>
      <c r="C97" s="972"/>
      <c r="D97" s="938"/>
      <c r="E97" s="805" t="str">
        <f>Translations!$B$351</f>
        <v>CP due (per produced t or MWh)</v>
      </c>
      <c r="F97" s="1303" t="str">
        <f>Translations!$B$1870</f>
        <v>This information is taken from the "tool to calculate the carbon price due" in sheet "F_Tools", where relevant.</v>
      </c>
      <c r="G97" s="1304"/>
      <c r="H97" s="1304"/>
      <c r="I97" s="1304"/>
      <c r="J97" s="1304"/>
      <c r="K97" s="1304"/>
      <c r="L97" s="1304"/>
      <c r="M97" s="1304"/>
      <c r="N97" s="1304"/>
      <c r="O97" s="954"/>
      <c r="P97" s="954"/>
      <c r="Q97" s="954"/>
      <c r="R97" s="954"/>
      <c r="S97" s="954"/>
      <c r="T97" s="428"/>
    </row>
    <row r="98" spans="1:41" ht="13.15" customHeight="1" x14ac:dyDescent="0.2">
      <c r="A98" s="92"/>
      <c r="B98" s="94"/>
      <c r="C98" s="972"/>
      <c r="D98" s="938"/>
      <c r="E98" s="806" t="str">
        <f>Translations!$B$352</f>
        <v>Rebate (per produced t or MWh)</v>
      </c>
      <c r="F98" s="1305" t="str">
        <f>Translations!$B$1870</f>
        <v>This information is taken from the "tool to calculate the carbon price due" in sheet "F_Tools", where relevant.</v>
      </c>
      <c r="G98" s="1306"/>
      <c r="H98" s="1306"/>
      <c r="I98" s="1306"/>
      <c r="J98" s="1306"/>
      <c r="K98" s="1306"/>
      <c r="L98" s="1306"/>
      <c r="M98" s="1306"/>
      <c r="N98" s="1306"/>
      <c r="O98" s="954"/>
      <c r="P98" s="954"/>
      <c r="Q98" s="954"/>
      <c r="R98" s="954"/>
      <c r="S98" s="954"/>
      <c r="T98" s="428"/>
    </row>
    <row r="99" spans="1:41" ht="5.0999999999999996" customHeight="1" thickBot="1" x14ac:dyDescent="0.3">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
      <c r="A100" s="975"/>
      <c r="B100" s="358"/>
      <c r="C100" s="954"/>
      <c r="D100" s="954"/>
      <c r="E100" s="943"/>
      <c r="F100" s="1439"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11" t="str">
        <f>Translations!$B$351</f>
        <v>CP due (per produced t or MWh)</v>
      </c>
      <c r="N100" s="1413"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25">
      <c r="A101" s="92"/>
      <c r="B101" s="94"/>
      <c r="C101" s="144"/>
      <c r="D101" s="34" t="s">
        <v>4</v>
      </c>
      <c r="E101" s="943" t="str">
        <f>Translations!$B$120</f>
        <v>Production process</v>
      </c>
      <c r="F101" s="1440"/>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12"/>
      <c r="N101" s="1414"/>
      <c r="O101" s="144"/>
      <c r="P101" s="144"/>
      <c r="Q101" s="144"/>
      <c r="R101" s="144"/>
      <c r="S101" s="144"/>
      <c r="T101" s="428"/>
    </row>
    <row r="102" spans="1:41" ht="12.75" customHeight="1" x14ac:dyDescent="0.25">
      <c r="A102" s="92"/>
      <c r="B102" s="94"/>
      <c r="C102" s="144"/>
      <c r="D102" s="229" t="str">
        <f>INDEX(CNTR_ListProdProcID,ROWS(D$102:D102))</f>
        <v>P1</v>
      </c>
      <c r="E102" s="153" t="str">
        <f t="shared" ref="E102:E111" si="23">E33</f>
        <v/>
      </c>
      <c r="F102" s="153" t="str">
        <f t="shared" ref="F102:F111" si="24">IF(E102="","",INDEX(CNTR_List_ExistProdProc,MATCH(E102,CNTR_List_ExistProdProcNames,0)))</f>
        <v/>
      </c>
      <c r="G102" s="245" t="str">
        <f>IF($E102="","",INDEX(InputOutput!AJ$71:AJ$100,MATCH($E102,InputOutput!$D$71:$D$100,0)))</f>
        <v/>
      </c>
      <c r="H102" s="245" t="str">
        <f>IF($E102="","",INDEX(InputOutput!AK$71:AK$100,MATCH($E102,InputOutput!$D$71:$D$100,0)))</f>
        <v/>
      </c>
      <c r="I102" s="245" t="str">
        <f>IF($E102="","",INDEX(InputOutput!AL$71:AL$100,MATCH($E102,InputOutput!$D$71:$D$100,0)))</f>
        <v/>
      </c>
      <c r="J102" s="245" t="str">
        <f>IF($E102="","",INDEX(InputOutput!AM$71:AM$100,MATCH($E102,InputOutput!$D$71:$D$100,0)))</f>
        <v/>
      </c>
      <c r="K102" s="245" t="str">
        <f>IF($E102="","",INDEX(InputOutput!AN$71:AN$100,MATCH($E102,InputOutput!$D$71:$D$100,0)))</f>
        <v/>
      </c>
      <c r="L102" s="245" t="str">
        <f>IF($E102="","",INDEX(InputOutput!AO$71:AO$100,MATCH($E102,InputOutput!$D$71:$D$100,0)))</f>
        <v/>
      </c>
      <c r="M102" s="735" t="str">
        <f>INDEX(F_Tools!L$101:L$110,MATCH($D102,F_Tools!$D$101:$D$110,0))</f>
        <v/>
      </c>
      <c r="N102" s="735" t="str">
        <f>INDEX(F_Tools!M$101:M$110,MATCH($D102,F_Tools!$D$101:$D$110,0))</f>
        <v/>
      </c>
      <c r="O102" s="144"/>
      <c r="P102" s="144"/>
      <c r="Q102" s="144"/>
      <c r="R102" s="144"/>
      <c r="S102" s="144"/>
      <c r="T102" s="428"/>
    </row>
    <row r="103" spans="1:41" ht="12.75" customHeight="1" x14ac:dyDescent="0.25">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25">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25">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25">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25">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25">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25">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25">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25">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25">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
      <c r="A113" s="975"/>
      <c r="B113" s="358"/>
      <c r="C113" s="954"/>
      <c r="D113" s="954"/>
      <c r="E113" s="943"/>
      <c r="F113" s="1439"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
      <c r="A114" s="92"/>
      <c r="B114" s="94"/>
      <c r="C114" s="144"/>
      <c r="D114" s="34" t="s">
        <v>48</v>
      </c>
      <c r="E114" s="943" t="str">
        <f>Translations!$B$124</f>
        <v>Purchased precursors</v>
      </c>
      <c r="F114" s="1440"/>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25">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25">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25">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25">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25">
      <c r="A139" s="92"/>
      <c r="B139" s="94"/>
      <c r="C139" s="972"/>
      <c r="D139" s="1446" t="str">
        <f>Translations!$B$581</f>
        <v>General aspects</v>
      </c>
      <c r="E139" s="1447"/>
      <c r="F139" s="1301" t="str">
        <f>Translations!$B$582</f>
        <v xml:space="preserve">The term 'specific' of all elements below is to be understood as being expressed per unit of good (usually tonnes) of the production process in consideration. </v>
      </c>
      <c r="G139" s="1301"/>
      <c r="H139" s="1301"/>
      <c r="I139" s="1301"/>
      <c r="J139" s="1301"/>
      <c r="K139" s="1301"/>
      <c r="L139" s="1301"/>
      <c r="M139" s="1301"/>
      <c r="N139" s="1301"/>
      <c r="O139" s="1301"/>
      <c r="P139" s="1301"/>
      <c r="Q139" s="1301"/>
      <c r="R139" s="1301"/>
      <c r="S139" s="1301"/>
      <c r="T139" s="428"/>
    </row>
    <row r="140" spans="1:22" ht="25.5" customHeight="1" x14ac:dyDescent="0.25">
      <c r="A140" s="92"/>
      <c r="B140" s="94"/>
      <c r="C140" s="972"/>
      <c r="D140" s="1448"/>
      <c r="E140" s="1449"/>
      <c r="F140" s="1303"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4"/>
      <c r="H140" s="1304"/>
      <c r="I140" s="1304"/>
      <c r="J140" s="1304"/>
      <c r="K140" s="1304"/>
      <c r="L140" s="1304"/>
      <c r="M140" s="1304"/>
      <c r="N140" s="1304"/>
      <c r="O140" s="1304"/>
      <c r="P140" s="1304"/>
      <c r="Q140" s="1304"/>
      <c r="R140" s="1304"/>
      <c r="S140" s="1304"/>
      <c r="T140" s="428"/>
    </row>
    <row r="141" spans="1:22" ht="12.75" customHeight="1" x14ac:dyDescent="0.25">
      <c r="A141" s="92"/>
      <c r="B141" s="94"/>
      <c r="C141" s="972"/>
      <c r="D141" s="1303" t="str">
        <f>Translations!$B$584</f>
        <v>Mass share</v>
      </c>
      <c r="E141" s="1304"/>
      <c r="F141" s="1303" t="str">
        <f>Translations!$B$585</f>
        <v>This is the specific consumption of each precursor per unit of products produced by the relevant 'production process'.</v>
      </c>
      <c r="G141" s="1304"/>
      <c r="H141" s="1304"/>
      <c r="I141" s="1304"/>
      <c r="J141" s="1304"/>
      <c r="K141" s="1304"/>
      <c r="L141" s="1304"/>
      <c r="M141" s="1304"/>
      <c r="N141" s="1304"/>
      <c r="O141" s="1304"/>
      <c r="P141" s="1304"/>
      <c r="Q141" s="1304"/>
      <c r="R141" s="1304"/>
      <c r="S141" s="1304"/>
      <c r="T141" s="428"/>
    </row>
    <row r="142" spans="1:22" ht="25.5" customHeight="1" x14ac:dyDescent="0.25">
      <c r="A142" s="92"/>
      <c r="B142" s="94"/>
      <c r="C142" s="972"/>
      <c r="D142" s="1303" t="str">
        <f>Translations!$B$586</f>
        <v>(Share of) Default value</v>
      </c>
      <c r="E142" s="1304"/>
      <c r="F142" s="1303"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4"/>
      <c r="H142" s="1304"/>
      <c r="I142" s="1304"/>
      <c r="J142" s="1304"/>
      <c r="K142" s="1304"/>
      <c r="L142" s="1304"/>
      <c r="M142" s="1304"/>
      <c r="N142" s="1304"/>
      <c r="O142" s="1304"/>
      <c r="P142" s="1304"/>
      <c r="Q142" s="1304"/>
      <c r="R142" s="1304"/>
      <c r="S142" s="1304"/>
      <c r="T142" s="428"/>
    </row>
    <row r="143" spans="1:22" ht="12.75" customHeight="1" x14ac:dyDescent="0.25">
      <c r="A143" s="92"/>
      <c r="B143" s="94"/>
      <c r="C143" s="972"/>
      <c r="D143" s="1303" t="str">
        <f>Translations!$B$570</f>
        <v>SEE (direct)</v>
      </c>
      <c r="E143" s="1304"/>
      <c r="F143" s="1303" t="str">
        <f>Translations!$B$571</f>
        <v>Specific embedded direct emissions of the production process, i.e. including any embedded emissions from any precursors consumed in the process.</v>
      </c>
      <c r="G143" s="1304"/>
      <c r="H143" s="1304"/>
      <c r="I143" s="1304"/>
      <c r="J143" s="1304"/>
      <c r="K143" s="1304"/>
      <c r="L143" s="1304"/>
      <c r="M143" s="1304"/>
      <c r="N143" s="1304"/>
      <c r="O143" s="1304"/>
      <c r="P143" s="1304"/>
      <c r="Q143" s="1304"/>
      <c r="R143" s="1304"/>
      <c r="S143" s="1304"/>
      <c r="T143" s="428"/>
    </row>
    <row r="144" spans="1:22" ht="12.75" customHeight="1" x14ac:dyDescent="0.25">
      <c r="A144" s="92"/>
      <c r="B144" s="94"/>
      <c r="C144" s="972"/>
      <c r="D144" s="1303" t="str">
        <f>Translations!$B$574</f>
        <v>SEE (indirect)</v>
      </c>
      <c r="E144" s="1304"/>
      <c r="F144" s="1303" t="str">
        <f>Translations!$B$575</f>
        <v>Specific embedded indirect emissions of the production process, i.e. including any embedded indirect emissions from any precursors consumed in the process.</v>
      </c>
      <c r="G144" s="1304"/>
      <c r="H144" s="1304"/>
      <c r="I144" s="1304"/>
      <c r="J144" s="1304"/>
      <c r="K144" s="1304"/>
      <c r="L144" s="1304"/>
      <c r="M144" s="1304"/>
      <c r="N144" s="1304"/>
      <c r="O144" s="1304"/>
      <c r="P144" s="1304"/>
      <c r="Q144" s="1304"/>
      <c r="R144" s="1304"/>
      <c r="S144" s="1304"/>
      <c r="T144" s="428"/>
    </row>
    <row r="145" spans="1:20" ht="12.75" customHeight="1" x14ac:dyDescent="0.25">
      <c r="A145" s="92"/>
      <c r="B145" s="94"/>
      <c r="C145" s="972"/>
      <c r="D145" s="1303" t="str">
        <f>Translations!$B$344</f>
        <v>SEE (total)</v>
      </c>
      <c r="E145" s="1304"/>
      <c r="F145" s="1303" t="str">
        <f>Translations!$B$588</f>
        <v>Total (direct + indirect) specific embedded emissions of the production process, i.e. including any embedded indirect emissions from any precursors consumed in the process.</v>
      </c>
      <c r="G145" s="1304"/>
      <c r="H145" s="1304"/>
      <c r="I145" s="1304"/>
      <c r="J145" s="1304"/>
      <c r="K145" s="1304"/>
      <c r="L145" s="1304"/>
      <c r="M145" s="1304"/>
      <c r="N145" s="1304"/>
      <c r="O145" s="1304"/>
      <c r="P145" s="1304"/>
      <c r="Q145" s="1304"/>
      <c r="R145" s="1304"/>
      <c r="S145" s="1304"/>
      <c r="T145" s="428"/>
    </row>
    <row r="146" spans="1:20" ht="12.75" customHeight="1" x14ac:dyDescent="0.25">
      <c r="A146" s="92"/>
      <c r="B146" s="94"/>
      <c r="C146" s="972"/>
      <c r="D146" s="1303" t="str">
        <f>Translations!$B$589</f>
        <v>EmbEm (direct)</v>
      </c>
      <c r="E146" s="1304"/>
      <c r="F146" s="1303" t="str">
        <f>Translations!$B$590</f>
        <v>Embedded direct emissions of the production process, i.e. including any embedded emissions from any precursors consumed in the process.</v>
      </c>
      <c r="G146" s="1304"/>
      <c r="H146" s="1304"/>
      <c r="I146" s="1304"/>
      <c r="J146" s="1304"/>
      <c r="K146" s="1304"/>
      <c r="L146" s="1304"/>
      <c r="M146" s="1304"/>
      <c r="N146" s="1304"/>
      <c r="O146" s="1304"/>
      <c r="P146" s="1304"/>
      <c r="Q146" s="1304"/>
      <c r="R146" s="1304"/>
      <c r="S146" s="1304"/>
      <c r="T146" s="428"/>
    </row>
    <row r="147" spans="1:20" ht="12.75" customHeight="1" x14ac:dyDescent="0.25">
      <c r="A147" s="92"/>
      <c r="B147" s="94"/>
      <c r="C147" s="972"/>
      <c r="D147" s="1303" t="str">
        <f>Translations!$B$591</f>
        <v>EmbEm (indirect)</v>
      </c>
      <c r="E147" s="1304"/>
      <c r="F147" s="1303" t="str">
        <f>Translations!$B$592</f>
        <v>Embedded indirect emissions of the production process, i.e. including any embedded indirect emissions from any precursors consumed in the process.</v>
      </c>
      <c r="G147" s="1304"/>
      <c r="H147" s="1304"/>
      <c r="I147" s="1304"/>
      <c r="J147" s="1304"/>
      <c r="K147" s="1304"/>
      <c r="L147" s="1304"/>
      <c r="M147" s="1304"/>
      <c r="N147" s="1304"/>
      <c r="O147" s="1304"/>
      <c r="P147" s="1304"/>
      <c r="Q147" s="1304"/>
      <c r="R147" s="1304"/>
      <c r="S147" s="1304"/>
      <c r="T147" s="428"/>
    </row>
    <row r="148" spans="1:20" ht="12.75" customHeight="1" x14ac:dyDescent="0.25">
      <c r="A148" s="92"/>
      <c r="B148" s="94"/>
      <c r="C148" s="972"/>
      <c r="D148" s="1303" t="str">
        <f>Translations!$B$593</f>
        <v>EmbEm (total)</v>
      </c>
      <c r="E148" s="1304"/>
      <c r="F148" s="1303" t="str">
        <f>Translations!$B$588</f>
        <v>Total (direct + indirect) specific embedded emissions of the production process, i.e. including any embedded indirect emissions from any precursors consumed in the process.</v>
      </c>
      <c r="G148" s="1304"/>
      <c r="H148" s="1304"/>
      <c r="I148" s="1304"/>
      <c r="J148" s="1304"/>
      <c r="K148" s="1304"/>
      <c r="L148" s="1304"/>
      <c r="M148" s="1304"/>
      <c r="N148" s="1304"/>
      <c r="O148" s="1304"/>
      <c r="P148" s="1304"/>
      <c r="Q148" s="1304"/>
      <c r="R148" s="1304"/>
      <c r="S148" s="1304"/>
      <c r="T148" s="428"/>
    </row>
    <row r="149" spans="1:20" ht="12.75" customHeight="1" x14ac:dyDescent="0.25">
      <c r="A149" s="92"/>
      <c r="B149" s="94"/>
      <c r="C149" s="972"/>
      <c r="D149" s="1303" t="str">
        <f>Translations!$B$594</f>
        <v>Source of electricity EF</v>
      </c>
      <c r="E149" s="1304"/>
      <c r="F149" s="1303" t="str">
        <f>Translations!$B$595</f>
        <v>The source or method based on which the electricity emission factor (EF) was determined for the relevant production process or precursor.</v>
      </c>
      <c r="G149" s="1304"/>
      <c r="H149" s="1304"/>
      <c r="I149" s="1304"/>
      <c r="J149" s="1304"/>
      <c r="K149" s="1304"/>
      <c r="L149" s="1304"/>
      <c r="M149" s="1304"/>
      <c r="N149" s="1304"/>
      <c r="O149" s="1304"/>
      <c r="P149" s="1304"/>
      <c r="Q149" s="1304"/>
      <c r="R149" s="1304"/>
      <c r="S149" s="1304"/>
      <c r="T149" s="428"/>
    </row>
    <row r="150" spans="1:20" ht="12.75" customHeight="1" x14ac:dyDescent="0.25">
      <c r="A150" s="92"/>
      <c r="B150" s="94"/>
      <c r="C150" s="972"/>
      <c r="D150" s="1450" t="str">
        <f>G_FurtherGuidance!F141</f>
        <v>D.4(a)</v>
      </c>
      <c r="E150" s="1450"/>
      <c r="F150" s="1303" t="str">
        <f>Translations!$B$2053</f>
        <v>EF based on IEA data, provided by the European Commission</v>
      </c>
      <c r="G150" s="1304"/>
      <c r="H150" s="1304"/>
      <c r="I150" s="1304"/>
      <c r="J150" s="1304"/>
      <c r="K150" s="1304"/>
      <c r="L150" s="1304"/>
      <c r="M150" s="1304"/>
      <c r="N150" s="1304"/>
      <c r="O150" s="1304"/>
      <c r="P150" s="1304"/>
      <c r="Q150" s="1304"/>
      <c r="R150" s="1304"/>
      <c r="S150" s="1304"/>
      <c r="T150" s="428"/>
    </row>
    <row r="151" spans="1:20" ht="12.75" customHeight="1" x14ac:dyDescent="0.25">
      <c r="A151" s="92"/>
      <c r="B151" s="94"/>
      <c r="C151" s="972"/>
      <c r="D151" s="1438" t="str">
        <f>G_FurtherGuidance!F142</f>
        <v>D.4(b)</v>
      </c>
      <c r="E151" s="1438"/>
      <c r="F151" s="1303" t="str">
        <f>Translations!$B$2054</f>
        <v>EF based on other publicly available data representing either the average EF or the CO2 emission factor as in section 4.3 of Annex IV of the CBAM Regulation.</v>
      </c>
      <c r="G151" s="1304"/>
      <c r="H151" s="1304"/>
      <c r="I151" s="1304"/>
      <c r="J151" s="1304"/>
      <c r="K151" s="1304"/>
      <c r="L151" s="1304"/>
      <c r="M151" s="1304"/>
      <c r="N151" s="1304"/>
      <c r="O151" s="1304"/>
      <c r="P151" s="1304"/>
      <c r="Q151" s="1304"/>
      <c r="R151" s="1304"/>
      <c r="S151" s="1304"/>
      <c r="T151" s="428"/>
    </row>
    <row r="152" spans="1:20" ht="12.75" customHeight="1" x14ac:dyDescent="0.25">
      <c r="A152" s="92"/>
      <c r="B152" s="94"/>
      <c r="C152" s="972"/>
      <c r="D152" s="1438" t="str">
        <f>G_FurtherGuidance!F143</f>
        <v>D.4.1</v>
      </c>
      <c r="E152" s="1438"/>
      <c r="F152" s="1303" t="str">
        <f>Translations!$B$2055</f>
        <v>EF of electricity produced in the installation other than by cogeneration</v>
      </c>
      <c r="G152" s="1304"/>
      <c r="H152" s="1304"/>
      <c r="I152" s="1304"/>
      <c r="J152" s="1304"/>
      <c r="K152" s="1304"/>
      <c r="L152" s="1304"/>
      <c r="M152" s="1304"/>
      <c r="N152" s="1304"/>
      <c r="O152" s="1304"/>
      <c r="P152" s="1304"/>
      <c r="Q152" s="1304"/>
      <c r="R152" s="1304"/>
      <c r="S152" s="1304"/>
      <c r="T152" s="428"/>
    </row>
    <row r="153" spans="1:20" ht="12.75" customHeight="1" x14ac:dyDescent="0.25">
      <c r="A153" s="92"/>
      <c r="B153" s="94"/>
      <c r="C153" s="972"/>
      <c r="D153" s="1438" t="str">
        <f>G_FurtherGuidance!F144</f>
        <v>D.4.2</v>
      </c>
      <c r="E153" s="1438"/>
      <c r="F153" s="1303" t="str">
        <f>Translations!$B$2056</f>
        <v>EF of electricity produced in the installation by cogeneration</v>
      </c>
      <c r="G153" s="1304"/>
      <c r="H153" s="1304"/>
      <c r="I153" s="1304"/>
      <c r="J153" s="1304"/>
      <c r="K153" s="1304"/>
      <c r="L153" s="1304"/>
      <c r="M153" s="1304"/>
      <c r="N153" s="1304"/>
      <c r="O153" s="1304"/>
      <c r="P153" s="1304"/>
      <c r="Q153" s="1304"/>
      <c r="R153" s="1304"/>
      <c r="S153" s="1304"/>
      <c r="T153" s="428"/>
    </row>
    <row r="154" spans="1:20" ht="12.75" customHeight="1" x14ac:dyDescent="0.25">
      <c r="A154" s="92"/>
      <c r="B154" s="94"/>
      <c r="C154" s="972"/>
      <c r="D154" s="1438" t="str">
        <f>G_FurtherGuidance!F145</f>
        <v>D.4.3.1</v>
      </c>
      <c r="E154" s="1438"/>
      <c r="F154" s="1303" t="str">
        <f>Translations!$B$2057</f>
        <v>EF of electricity produced outside the installation (received from a source with a direct technical link)</v>
      </c>
      <c r="G154" s="1304"/>
      <c r="H154" s="1304"/>
      <c r="I154" s="1304"/>
      <c r="J154" s="1304"/>
      <c r="K154" s="1304"/>
      <c r="L154" s="1304"/>
      <c r="M154" s="1304"/>
      <c r="N154" s="1304"/>
      <c r="O154" s="1304"/>
      <c r="P154" s="1304"/>
      <c r="Q154" s="1304"/>
      <c r="R154" s="1304"/>
      <c r="S154" s="1304"/>
      <c r="T154" s="428"/>
    </row>
    <row r="155" spans="1:20" ht="12.75" customHeight="1" x14ac:dyDescent="0.25">
      <c r="A155" s="92"/>
      <c r="B155" s="94"/>
      <c r="C155" s="972"/>
      <c r="D155" s="1438" t="str">
        <f>G_FurtherGuidance!F146</f>
        <v>D.4.3.2</v>
      </c>
      <c r="E155" s="1438"/>
      <c r="F155" s="1303" t="str">
        <f>Translations!$B$2058</f>
        <v>EF of electricity produced outside the installation (received from a producer under a power purchase agreement)</v>
      </c>
      <c r="G155" s="1304"/>
      <c r="H155" s="1304"/>
      <c r="I155" s="1304"/>
      <c r="J155" s="1304"/>
      <c r="K155" s="1304"/>
      <c r="L155" s="1304"/>
      <c r="M155" s="1304"/>
      <c r="N155" s="1304"/>
      <c r="O155" s="1304"/>
      <c r="P155" s="1304"/>
      <c r="Q155" s="1304"/>
      <c r="R155" s="1304"/>
      <c r="S155" s="1304"/>
      <c r="T155" s="428"/>
    </row>
    <row r="156" spans="1:20" ht="12.75" customHeight="1" x14ac:dyDescent="0.25">
      <c r="A156" s="92"/>
      <c r="B156" s="94"/>
      <c r="C156" s="972"/>
      <c r="D156" s="1451" t="str">
        <f>Translations!$B$460</f>
        <v>Mix</v>
      </c>
      <c r="E156" s="1452"/>
      <c r="F156" s="1303" t="str">
        <f>Translations!$B$596</f>
        <v>Where the electricity is not predominantly obtained from one source or the EF by one of the above sources, the EF is determined as a mix of the methods above.</v>
      </c>
      <c r="G156" s="1304"/>
      <c r="H156" s="1304"/>
      <c r="I156" s="1304"/>
      <c r="J156" s="1304"/>
      <c r="K156" s="1304"/>
      <c r="L156" s="1304"/>
      <c r="M156" s="1304"/>
      <c r="N156" s="1304"/>
      <c r="O156" s="1304"/>
      <c r="P156" s="1304"/>
      <c r="Q156" s="1304"/>
      <c r="R156" s="1304"/>
      <c r="S156" s="1304"/>
      <c r="T156" s="428"/>
    </row>
    <row r="157" spans="1:20" ht="12.75" customHeight="1" x14ac:dyDescent="0.25">
      <c r="A157" s="92"/>
      <c r="B157" s="94"/>
      <c r="C157" s="972"/>
      <c r="D157" s="1303" t="str">
        <f>Translations!$B$480</f>
        <v>Embedded electricity</v>
      </c>
      <c r="E157" s="1304"/>
      <c r="F157" s="1303" t="str">
        <f>Translations!$B$2090</f>
        <v>Specific embedded electricity consumption the production process, including any electricity embedded in any precursors consumed in the process.</v>
      </c>
      <c r="G157" s="1304"/>
      <c r="H157" s="1304"/>
      <c r="I157" s="1304"/>
      <c r="J157" s="1304"/>
      <c r="K157" s="1304"/>
      <c r="L157" s="1304"/>
      <c r="M157" s="1304"/>
      <c r="N157" s="1304"/>
      <c r="O157" s="1304"/>
      <c r="P157" s="1304"/>
      <c r="Q157" s="1304"/>
      <c r="R157" s="1304"/>
      <c r="S157" s="1304"/>
      <c r="T157" s="428"/>
    </row>
    <row r="158" spans="1:20" ht="12.75" customHeight="1" x14ac:dyDescent="0.25">
      <c r="A158" s="92"/>
      <c r="B158" s="94"/>
      <c r="C158" s="972"/>
      <c r="D158" s="1303" t="str">
        <f>Translations!$B$1957</f>
        <v>Country code</v>
      </c>
      <c r="E158" s="1304"/>
      <c r="F158" s="1303" t="str">
        <f>Translations!$B$599</f>
        <v>This is the country in which the relevant precursor is produced, where imported from outside the own installation.</v>
      </c>
      <c r="G158" s="1304"/>
      <c r="H158" s="1304"/>
      <c r="I158" s="1304"/>
      <c r="J158" s="1304"/>
      <c r="K158" s="1304"/>
      <c r="L158" s="1304"/>
      <c r="M158" s="1304"/>
      <c r="N158" s="1304"/>
      <c r="O158" s="1304"/>
      <c r="P158" s="1304"/>
      <c r="Q158" s="1304"/>
      <c r="R158" s="1304"/>
      <c r="S158" s="1304"/>
      <c r="T158" s="428"/>
    </row>
    <row r="159" spans="1:20" ht="12.75" customHeight="1" x14ac:dyDescent="0.25">
      <c r="A159" s="92"/>
      <c r="B159" s="94"/>
      <c r="C159" s="972"/>
      <c r="D159" s="1303" t="str">
        <f>Translations!$B$351</f>
        <v>CP due (per produced t or MWh)</v>
      </c>
      <c r="E159" s="1304"/>
      <c r="F159" s="1303" t="str">
        <f>Translations!$B$1870</f>
        <v>This information is taken from the "tool to calculate the carbon price due" in sheet "F_Tools", where relevant.</v>
      </c>
      <c r="G159" s="1304"/>
      <c r="H159" s="1304"/>
      <c r="I159" s="1304"/>
      <c r="J159" s="1304"/>
      <c r="K159" s="1304"/>
      <c r="L159" s="1304"/>
      <c r="M159" s="1304"/>
      <c r="N159" s="1304"/>
      <c r="O159" s="1304"/>
      <c r="P159" s="1304"/>
      <c r="Q159" s="1304"/>
      <c r="R159" s="1304"/>
      <c r="S159" s="1304"/>
      <c r="T159" s="428"/>
    </row>
    <row r="160" spans="1:20" ht="12.75" customHeight="1" x14ac:dyDescent="0.25">
      <c r="A160" s="92"/>
      <c r="B160" s="94"/>
      <c r="C160" s="972"/>
      <c r="D160" s="1305" t="str">
        <f>Translations!$B$352</f>
        <v>Rebate (per produced t or MWh)</v>
      </c>
      <c r="E160" s="1306"/>
      <c r="F160" s="1445" t="str">
        <f>Translations!$B$1870</f>
        <v>This information is taken from the "tool to calculate the carbon price due" in sheet "F_Tools", where relevant.</v>
      </c>
      <c r="G160" s="1306"/>
      <c r="H160" s="1306"/>
      <c r="I160" s="1306"/>
      <c r="J160" s="1306"/>
      <c r="K160" s="1306"/>
      <c r="L160" s="1306"/>
      <c r="M160" s="1306"/>
      <c r="N160" s="1306"/>
      <c r="O160" s="1306"/>
      <c r="P160" s="1306"/>
      <c r="Q160" s="1306"/>
      <c r="R160" s="1306"/>
      <c r="S160" s="1306"/>
      <c r="T160" s="428"/>
    </row>
    <row r="161" spans="1:41" ht="12.75" customHeight="1" thickBot="1" x14ac:dyDescent="0.3">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25">
      <c r="A162" s="977"/>
      <c r="B162" s="981"/>
      <c r="C162" s="1415">
        <v>1</v>
      </c>
      <c r="D162" s="1418" t="str">
        <f>IF(INDEX(CNTR_List_ExistProdProcNames,C162)=CONST_NA,"",INDEX(CNTR_List_ExistProdProcNames,C162))</f>
        <v/>
      </c>
      <c r="E162" s="1419"/>
      <c r="F162" s="1426" t="str">
        <f>Translations!$B$107</f>
        <v>Aggregated goods category</v>
      </c>
      <c r="G162" s="250" t="str">
        <f>Translations!$B$584</f>
        <v>Mass share</v>
      </c>
      <c r="H162" s="1428"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8" t="str">
        <f>Translations!$B$594</f>
        <v>Source of electricity EF</v>
      </c>
      <c r="P162" s="250" t="str">
        <f>Translations!$B$480</f>
        <v>Embedded electricity</v>
      </c>
      <c r="Q162" s="1430" t="str">
        <f>Translations!$B$1957</f>
        <v>Country code</v>
      </c>
      <c r="R162" s="1411" t="str">
        <f>Translations!$B$351</f>
        <v>CP due (per produced t or MWh)</v>
      </c>
      <c r="S162" s="1413"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t="str">
        <f>H164</f>
        <v/>
      </c>
      <c r="AH162" s="91"/>
      <c r="AI162" s="91"/>
      <c r="AJ162" s="91"/>
      <c r="AK162" s="91"/>
      <c r="AL162" s="91"/>
      <c r="AM162" s="91"/>
      <c r="AN162" s="91"/>
      <c r="AO162" s="91"/>
    </row>
    <row r="163" spans="1:41" s="249" customFormat="1" ht="15" customHeight="1" thickBot="1" x14ac:dyDescent="0.3">
      <c r="A163" s="977"/>
      <c r="B163" s="981"/>
      <c r="C163" s="1416"/>
      <c r="D163" s="1420"/>
      <c r="E163" s="1421"/>
      <c r="F163" s="1427"/>
      <c r="G163" s="251" t="str">
        <f>IF($F164="",CONST_t,INDEX(CONST_LIST_GoodsUnit,MATCH($F164,CONST_LIST_Goods,0))) &amp;"/"&amp; IF($F164="",CONST_t,INDEX(CONST_LIST_GoodsUnit,MATCH($F164,CONST_LIST_Goods,0)))</f>
        <v>t/t</v>
      </c>
      <c r="H163" s="1429"/>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9"/>
      <c r="P163" s="251" t="str">
        <f>CONST_MWh &amp; "/" &amp; IF($F164="",CONST_t,INDEX(CONST_LIST_GoodsUnit,MATCH($F164,CONST_LIST_Goods,0)))</f>
        <v>MWh/t</v>
      </c>
      <c r="Q163" s="1431"/>
      <c r="R163" s="1412"/>
      <c r="S163" s="1414"/>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
      <c r="A164" s="92"/>
      <c r="B164" s="94"/>
      <c r="C164" s="1417"/>
      <c r="D164" s="1432" t="str">
        <f>Translations!$B$600</f>
        <v>Total production process</v>
      </c>
      <c r="E164" s="1433"/>
      <c r="F164" s="253" t="str">
        <f>IF(D165="","",INDEX(CNTR_List_ExistProdProc,MATCH(D165,CNTR_List_ExistProdProcNames,0)))</f>
        <v/>
      </c>
      <c r="G164" s="254" t="s">
        <v>206</v>
      </c>
      <c r="H164" s="896" t="str">
        <f>IF(D162="","",IFERROR(SUMIFS(I166:I195,H166:H195,TRUE)/I164,""))</f>
        <v/>
      </c>
      <c r="I164" s="662" t="str">
        <f>IF(COUNT(I165:I195)&gt;0,SUM(I165:I195),"")</f>
        <v/>
      </c>
      <c r="J164" s="662" t="str">
        <f>IF(COUNT(J165:J195)&gt;0,SUM(J165:J195),"")</f>
        <v/>
      </c>
      <c r="K164" s="662" t="str">
        <f t="shared" ref="K164:S164" si="26">IF(COUNT(K165:K195)&gt;0,SUM(K165:K195),"")</f>
        <v/>
      </c>
      <c r="L164" s="255" t="str">
        <f t="shared" si="26"/>
        <v/>
      </c>
      <c r="M164" s="255" t="str">
        <f>IF(COUNT(M165:M195)&gt;0,SUM(M165:M195),"")</f>
        <v/>
      </c>
      <c r="N164" s="255" t="str">
        <f t="shared" si="26"/>
        <v/>
      </c>
      <c r="O164" s="254" t="s">
        <v>206</v>
      </c>
      <c r="P164" s="662" t="str">
        <f t="shared" si="26"/>
        <v/>
      </c>
      <c r="Q164" s="670" t="s">
        <v>206</v>
      </c>
      <c r="R164" s="675" t="str">
        <f t="shared" si="26"/>
        <v/>
      </c>
      <c r="S164" s="666" t="str">
        <f t="shared" si="26"/>
        <v/>
      </c>
      <c r="T164" s="428"/>
      <c r="Z164" s="123"/>
      <c r="AD164" s="91" t="s">
        <v>199</v>
      </c>
      <c r="AE164" s="91" t="s">
        <v>200</v>
      </c>
      <c r="AG164" s="91" t="s">
        <v>418</v>
      </c>
    </row>
    <row r="165" spans="1:41" ht="12.75" customHeight="1" thickBot="1" x14ac:dyDescent="0.3">
      <c r="A165" s="92"/>
      <c r="B165" s="94"/>
      <c r="C165" s="144"/>
      <c r="D165" s="1434" t="str">
        <f>D162</f>
        <v/>
      </c>
      <c r="E165" s="1435"/>
      <c r="F165" s="283" t="str">
        <f>IF(D165="","",INDEX(CNTR_List_ExistProdProc,MATCH(D165,CNTR_List_ExistProdProcNames,0)))</f>
        <v/>
      </c>
      <c r="G165" s="256">
        <v>1</v>
      </c>
      <c r="H165" s="284" t="s">
        <v>206</v>
      </c>
      <c r="I165" s="663" t="str">
        <f>IF($D165="","",SUM($G165)*SUM(INDEX(InputOutput!$AJ$71:$AJ$100,MATCH($D165,InputOutput!$D$71:$D$100,0))))</f>
        <v/>
      </c>
      <c r="J165" s="663" t="str">
        <f>IF($D165="","",SUM($G165)*SUM(INDEX(InputOutput!$AL$71:$AL$100,MATCH($D165,InputOutput!$D$71:$D$100,0))))</f>
        <v/>
      </c>
      <c r="K165" s="663" t="str">
        <f t="shared" ref="K165:K170" si="27">IF(COUNT(I165:J165)&gt;0,SUM(I165:J165),"")</f>
        <v/>
      </c>
      <c r="L165" s="257" t="str">
        <f>IF(D165="","",SUM(I165)*SUM(AD165))</f>
        <v/>
      </c>
      <c r="M165" s="257" t="str">
        <f>IF(D165="","",SUM(J165)*SUM(AD165))</f>
        <v/>
      </c>
      <c r="N165" s="257" t="str">
        <f t="shared" ref="N165:N170" si="28">IF(COUNT(L165:M165)&gt;0,SUM(L165:M165),"")</f>
        <v/>
      </c>
      <c r="O165" s="257" t="str">
        <f>IF(AG165,INDEX(E_PurchPrec!U:U,MATCH(CONST_CNTR_ElecEFMethod&amp;D165,E_PurchPrec!R:R,0)),INDEX(D_Processes!T:T,MATCH(CONST_CNTR_ElecEFMethod&amp;D165,D_Processes!R:R,0)))</f>
        <v/>
      </c>
      <c r="P165" s="663" t="str">
        <f>IF($D165="","",SUM($G165)*SUM(INDEX(InputOutput!$AN$71:$AN$100,MATCH($D165,InputOutput!$D$71:$D$100,0))))</f>
        <v/>
      </c>
      <c r="Q165" s="671"/>
      <c r="R165" s="676" t="str">
        <f>IF($D165="","",SUM($G165)*SUM(INDEX(F_Tools!$T$101:$T$130,MATCH($D165,F_Tools!$E$101:$E$130,0))))</f>
        <v/>
      </c>
      <c r="S165" s="667" t="str">
        <f>IF($D165="","",SUM($G165)*SUM(INDEX(F_Tools!$U$101:$U$130,MATCH($D165,F_Tools!$E$101:$E$130,0))))</f>
        <v/>
      </c>
      <c r="T165" s="428"/>
      <c r="Z165" s="123"/>
      <c r="AB165" s="150" t="str">
        <f>CONST_CNTR_TotProd &amp; D162</f>
        <v>TotProd_</v>
      </c>
      <c r="AD165" s="258">
        <f>SUMIF(D_Processes!R:R,AB165,D_Processes!L:L)</f>
        <v>0</v>
      </c>
    </row>
    <row r="166" spans="1:41" ht="12.75" customHeight="1" x14ac:dyDescent="0.25">
      <c r="A166" s="92"/>
      <c r="B166" s="94"/>
      <c r="C166" s="978">
        <v>1</v>
      </c>
      <c r="D166" s="1436" t="str">
        <f>IF(D162="","",IF(COUNTIF(INDEX(CNTR_IOSupplyChain,MATCH(D162,CNTR_IOProcAndPrec,0),),C166)=0,"",INDEX(CNTR_IOProcAndPrec,MATCH(C166,INDEX(CNTR_IOSupplyChain,MATCH(D162,CNTR_IOProcAndPrec,0),),0))))</f>
        <v/>
      </c>
      <c r="E166" s="1437"/>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25">
      <c r="A167" s="92"/>
      <c r="B167" s="94"/>
      <c r="C167" s="978">
        <v>2</v>
      </c>
      <c r="D167" s="1422" t="str">
        <f>IF(D162="","",IF(COUNTIF(INDEX(CNTR_IOSupplyChain,MATCH(D162,CNTR_IOProcAndPrec,0),),C167)=0,"",INDEX(CNTR_IOProcAndPrec,MATCH(C167,INDEX(CNTR_IOSupplyChain,MATCH(D162,CNTR_IOProcAndPrec,0),),0))))</f>
        <v/>
      </c>
      <c r="E167" s="1423"/>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v>
      </c>
      <c r="AD167" s="269">
        <f>SUMIF(D_Processes!R:R,AB167,D_Processes!K:K)</f>
        <v>0</v>
      </c>
      <c r="AE167" s="268">
        <f>SUMIF(D_Processes!R:R,CONST_CNTR_TotProd &amp; D167,D_Processes!L:L)</f>
        <v>0</v>
      </c>
      <c r="AG167" s="102" t="b">
        <f t="shared" si="30"/>
        <v>0</v>
      </c>
    </row>
    <row r="168" spans="1:41" ht="12.75" customHeight="1" x14ac:dyDescent="0.25">
      <c r="A168" s="92"/>
      <c r="B168" s="94"/>
      <c r="C168" s="978">
        <v>3</v>
      </c>
      <c r="D168" s="1422" t="str">
        <f>IF(D162="","",IF(COUNTIF(INDEX(CNTR_IOSupplyChain,MATCH(D162,CNTR_IOProcAndPrec,0),),C168)=0,"",INDEX(CNTR_IOProcAndPrec,MATCH(C168,INDEX(CNTR_IOSupplyChain,MATCH(D162,CNTR_IOProcAndPrec,0),),0))))</f>
        <v/>
      </c>
      <c r="E168" s="1423"/>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v>
      </c>
      <c r="AD168" s="269">
        <f>SUMIF(D_Processes!R:R,AB168,D_Processes!K:K)</f>
        <v>0</v>
      </c>
      <c r="AE168" s="268">
        <f>SUMIF(D_Processes!R:R,CONST_CNTR_TotProd &amp; D168,D_Processes!L:L)</f>
        <v>0</v>
      </c>
      <c r="AG168" s="102" t="b">
        <f t="shared" si="30"/>
        <v>0</v>
      </c>
    </row>
    <row r="169" spans="1:41" ht="12.75" customHeight="1" x14ac:dyDescent="0.25">
      <c r="A169" s="92"/>
      <c r="B169" s="94"/>
      <c r="C169" s="978">
        <v>4</v>
      </c>
      <c r="D169" s="1422" t="str">
        <f>IF(D162="","",IF(COUNTIF(INDEX(CNTR_IOSupplyChain,MATCH(D162,CNTR_IOProcAndPrec,0),),C169)=0,"",INDEX(CNTR_IOProcAndPrec,MATCH(C169,INDEX(CNTR_IOSupplyChain,MATCH(D162,CNTR_IOProcAndPrec,0),),0))))</f>
        <v/>
      </c>
      <c r="E169" s="1423"/>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v>
      </c>
      <c r="AD169" s="269">
        <f>SUMIF(D_Processes!R:R,AB169,D_Processes!K:K)</f>
        <v>0</v>
      </c>
      <c r="AE169" s="268">
        <f>SUMIF(D_Processes!R:R,CONST_CNTR_TotProd &amp; D169,D_Processes!L:L)</f>
        <v>0</v>
      </c>
      <c r="AG169" s="102" t="b">
        <f t="shared" si="30"/>
        <v>0</v>
      </c>
    </row>
    <row r="170" spans="1:41" ht="12.75" customHeight="1" x14ac:dyDescent="0.25">
      <c r="A170" s="92"/>
      <c r="B170" s="94"/>
      <c r="C170" s="978">
        <v>5</v>
      </c>
      <c r="D170" s="1422" t="str">
        <f>IF(D162="","",IF(COUNTIF(INDEX(CNTR_IOSupplyChain,MATCH(D162,CNTR_IOProcAndPrec,0),),C170)=0,"",INDEX(CNTR_IOProcAndPrec,MATCH(C170,INDEX(CNTR_IOSupplyChain,MATCH(D162,CNTR_IOProcAndPrec,0),),0))))</f>
        <v/>
      </c>
      <c r="E170" s="1423"/>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v>
      </c>
      <c r="AD170" s="269">
        <f>SUMIF(D_Processes!R:R,AB170,D_Processes!K:K)</f>
        <v>0</v>
      </c>
      <c r="AE170" s="268">
        <f>SUMIF(D_Processes!R:R,CONST_CNTR_TotProd &amp; D170,D_Processes!L:L)</f>
        <v>0</v>
      </c>
      <c r="AG170" s="102" t="b">
        <f t="shared" si="30"/>
        <v>0</v>
      </c>
    </row>
    <row r="171" spans="1:41" ht="12.75" customHeight="1" outlineLevel="1" x14ac:dyDescent="0.25">
      <c r="A171" s="92"/>
      <c r="B171" s="94"/>
      <c r="C171" s="978">
        <v>6</v>
      </c>
      <c r="D171" s="1422" t="str">
        <f>IF(D162="","",IF(COUNTIF(INDEX(CNTR_IOSupplyChain,MATCH(D162,CNTR_IOProcAndPrec,0),),C171)=0,"",INDEX(CNTR_IOProcAndPrec,MATCH(C171,INDEX(CNTR_IOSupplyChain,MATCH(D162,CNTR_IOProcAndPrec,0),),0))))</f>
        <v/>
      </c>
      <c r="E171" s="1423"/>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v>
      </c>
      <c r="AD171" s="269">
        <f>SUMIF(D_Processes!R:R,AB171,D_Processes!K:K)</f>
        <v>0</v>
      </c>
      <c r="AE171" s="268">
        <f>SUMIF(D_Processes!R:R,CONST_CNTR_TotProd &amp; D171,D_Processes!L:L)</f>
        <v>0</v>
      </c>
      <c r="AG171" s="102" t="b">
        <f t="shared" si="30"/>
        <v>0</v>
      </c>
    </row>
    <row r="172" spans="1:41" ht="12.75" customHeight="1" outlineLevel="1" x14ac:dyDescent="0.25">
      <c r="A172" s="92"/>
      <c r="B172" s="94"/>
      <c r="C172" s="978">
        <v>7</v>
      </c>
      <c r="D172" s="1422" t="str">
        <f>IF(D162="","",IF(COUNTIF(INDEX(CNTR_IOSupplyChain,MATCH(D162,CNTR_IOProcAndPrec,0),),C172)=0,"",INDEX(CNTR_IOProcAndPrec,MATCH(C172,INDEX(CNTR_IOSupplyChain,MATCH(D162,CNTR_IOProcAndPrec,0),),0))))</f>
        <v/>
      </c>
      <c r="E172" s="1423"/>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v>
      </c>
      <c r="AD172" s="269">
        <f>SUMIF(D_Processes!R:R,AB172,D_Processes!K:K)</f>
        <v>0</v>
      </c>
      <c r="AE172" s="268">
        <f>SUMIF(D_Processes!R:R,CONST_CNTR_TotProd &amp; D172,D_Processes!L:L)</f>
        <v>0</v>
      </c>
      <c r="AG172" s="102" t="b">
        <f t="shared" si="30"/>
        <v>0</v>
      </c>
    </row>
    <row r="173" spans="1:41" ht="12.75" customHeight="1" outlineLevel="1" x14ac:dyDescent="0.25">
      <c r="A173" s="92"/>
      <c r="B173" s="94"/>
      <c r="C173" s="978">
        <v>8</v>
      </c>
      <c r="D173" s="1422" t="str">
        <f>IF(D162="","",IF(COUNTIF(INDEX(CNTR_IOSupplyChain,MATCH(D162,CNTR_IOProcAndPrec,0),),C173)=0,"",INDEX(CNTR_IOProcAndPrec,MATCH(C173,INDEX(CNTR_IOSupplyChain,MATCH(D162,CNTR_IOProcAndPrec,0),),0))))</f>
        <v/>
      </c>
      <c r="E173" s="1423"/>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v>
      </c>
      <c r="AD173" s="269">
        <f>SUMIF(D_Processes!R:R,AB173,D_Processes!K:K)</f>
        <v>0</v>
      </c>
      <c r="AE173" s="268">
        <f>SUMIF(D_Processes!R:R,CONST_CNTR_TotProd &amp; D173,D_Processes!L:L)</f>
        <v>0</v>
      </c>
      <c r="AG173" s="102" t="b">
        <f t="shared" si="30"/>
        <v>0</v>
      </c>
    </row>
    <row r="174" spans="1:41" ht="12.75" customHeight="1" outlineLevel="1" x14ac:dyDescent="0.25">
      <c r="A174" s="92"/>
      <c r="B174" s="94"/>
      <c r="C174" s="978">
        <v>9</v>
      </c>
      <c r="D174" s="1422" t="str">
        <f>IF(D162="","",IF(COUNTIF(INDEX(CNTR_IOSupplyChain,MATCH(D162,CNTR_IOProcAndPrec,0),),C174)=0,"",INDEX(CNTR_IOProcAndPrec,MATCH(C174,INDEX(CNTR_IOSupplyChain,MATCH(D162,CNTR_IOProcAndPrec,0),),0))))</f>
        <v/>
      </c>
      <c r="E174" s="1423"/>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v>
      </c>
      <c r="AD174" s="269">
        <f>SUMIF(D_Processes!R:R,AB174,D_Processes!K:K)</f>
        <v>0</v>
      </c>
      <c r="AE174" s="268">
        <f>SUMIF(D_Processes!R:R,CONST_CNTR_TotProd &amp; D174,D_Processes!L:L)</f>
        <v>0</v>
      </c>
      <c r="AG174" s="102" t="b">
        <f t="shared" si="30"/>
        <v>0</v>
      </c>
    </row>
    <row r="175" spans="1:41" ht="12.75" customHeight="1" outlineLevel="1" x14ac:dyDescent="0.25">
      <c r="A175" s="92"/>
      <c r="B175" s="94"/>
      <c r="C175" s="978">
        <v>10</v>
      </c>
      <c r="D175" s="1422" t="str">
        <f>IF(D162="","",IF(COUNTIF(INDEX(CNTR_IOSupplyChain,MATCH(D162,CNTR_IOProcAndPrec,0),),C175)=0,"",INDEX(CNTR_IOProcAndPrec,MATCH(C175,INDEX(CNTR_IOSupplyChain,MATCH(D162,CNTR_IOProcAndPrec,0),),0))))</f>
        <v/>
      </c>
      <c r="E175" s="1423"/>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v>
      </c>
      <c r="AD175" s="269">
        <f>SUMIF(D_Processes!R:R,AB175,D_Processes!K:K)</f>
        <v>0</v>
      </c>
      <c r="AE175" s="268">
        <f>SUMIF(D_Processes!R:R,CONST_CNTR_TotProd &amp; D175,D_Processes!L:L)</f>
        <v>0</v>
      </c>
      <c r="AG175" s="102" t="b">
        <f t="shared" si="30"/>
        <v>0</v>
      </c>
    </row>
    <row r="176" spans="1:41" ht="12.75" customHeight="1" outlineLevel="1" x14ac:dyDescent="0.25">
      <c r="A176" s="92"/>
      <c r="B176" s="94"/>
      <c r="C176" s="978">
        <v>11</v>
      </c>
      <c r="D176" s="1422" t="str">
        <f>IF(D162="","",IF(COUNTIF(INDEX(CNTR_IOSupplyChain,MATCH(D162,CNTR_IOProcAndPrec,0),),C176)=0,"",INDEX(CNTR_IOProcAndPrec,MATCH(C176,INDEX(CNTR_IOSupplyChain,MATCH(D162,CNTR_IOProcAndPrec,0),),0))))</f>
        <v/>
      </c>
      <c r="E176" s="1423"/>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v>
      </c>
      <c r="AD176" s="269">
        <f>SUMIF(D_Processes!R:R,AB176,D_Processes!K:K)</f>
        <v>0</v>
      </c>
      <c r="AE176" s="268">
        <f>SUMIF(D_Processes!R:R,CONST_CNTR_TotProd &amp; D176,D_Processes!L:L)</f>
        <v>0</v>
      </c>
      <c r="AG176" s="102" t="b">
        <f t="shared" si="30"/>
        <v>0</v>
      </c>
    </row>
    <row r="177" spans="1:33" ht="12.75" customHeight="1" outlineLevel="1" x14ac:dyDescent="0.25">
      <c r="A177" s="92"/>
      <c r="B177" s="94"/>
      <c r="C177" s="978">
        <v>12</v>
      </c>
      <c r="D177" s="1422" t="str">
        <f>IF(D162="","",IF(COUNTIF(INDEX(CNTR_IOSupplyChain,MATCH(D162,CNTR_IOProcAndPrec,0),),C177)=0,"",INDEX(CNTR_IOProcAndPrec,MATCH(C177,INDEX(CNTR_IOSupplyChain,MATCH(D162,CNTR_IOProcAndPrec,0),),0))))</f>
        <v/>
      </c>
      <c r="E177" s="1423"/>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v>
      </c>
      <c r="AD177" s="269">
        <f>SUMIF(D_Processes!R:R,AB177,D_Processes!K:K)</f>
        <v>0</v>
      </c>
      <c r="AE177" s="268">
        <f>SUMIF(D_Processes!R:R,CONST_CNTR_TotProd &amp; D177,D_Processes!L:L)</f>
        <v>0</v>
      </c>
      <c r="AG177" s="102" t="b">
        <f t="shared" si="30"/>
        <v>0</v>
      </c>
    </row>
    <row r="178" spans="1:33" ht="12.75" customHeight="1" outlineLevel="1" x14ac:dyDescent="0.25">
      <c r="A178" s="92"/>
      <c r="B178" s="94"/>
      <c r="C178" s="978">
        <v>13</v>
      </c>
      <c r="D178" s="1422" t="str">
        <f>IF(D162="","",IF(COUNTIF(INDEX(CNTR_IOSupplyChain,MATCH(D162,CNTR_IOProcAndPrec,0),),C178)=0,"",INDEX(CNTR_IOProcAndPrec,MATCH(C178,INDEX(CNTR_IOSupplyChain,MATCH(D162,CNTR_IOProcAndPrec,0),),0))))</f>
        <v/>
      </c>
      <c r="E178" s="1423"/>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v>
      </c>
      <c r="AD178" s="269">
        <f>SUMIF(D_Processes!R:R,AB178,D_Processes!K:K)</f>
        <v>0</v>
      </c>
      <c r="AE178" s="268">
        <f>SUMIF(D_Processes!R:R,CONST_CNTR_TotProd &amp; D178,D_Processes!L:L)</f>
        <v>0</v>
      </c>
      <c r="AG178" s="102" t="b">
        <f t="shared" si="30"/>
        <v>0</v>
      </c>
    </row>
    <row r="179" spans="1:33" ht="12.75" customHeight="1" outlineLevel="1" x14ac:dyDescent="0.25">
      <c r="A179" s="92"/>
      <c r="B179" s="94"/>
      <c r="C179" s="978">
        <v>14</v>
      </c>
      <c r="D179" s="1422" t="str">
        <f>IF(D162="","",IF(COUNTIF(INDEX(CNTR_IOSupplyChain,MATCH(D162,CNTR_IOProcAndPrec,0),),C179)=0,"",INDEX(CNTR_IOProcAndPrec,MATCH(C179,INDEX(CNTR_IOSupplyChain,MATCH(D162,CNTR_IOProcAndPrec,0),),0))))</f>
        <v/>
      </c>
      <c r="E179" s="1423"/>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v>
      </c>
      <c r="AD179" s="269">
        <f>SUMIF(D_Processes!R:R,AB179,D_Processes!K:K)</f>
        <v>0</v>
      </c>
      <c r="AE179" s="268">
        <f>SUMIF(D_Processes!R:R,CONST_CNTR_TotProd &amp; D179,D_Processes!L:L)</f>
        <v>0</v>
      </c>
      <c r="AG179" s="102" t="b">
        <f t="shared" si="30"/>
        <v>0</v>
      </c>
    </row>
    <row r="180" spans="1:33" ht="12.75" customHeight="1" outlineLevel="1" x14ac:dyDescent="0.25">
      <c r="A180" s="92"/>
      <c r="B180" s="94"/>
      <c r="C180" s="978">
        <v>15</v>
      </c>
      <c r="D180" s="1422" t="str">
        <f>IF(D162="","",IF(COUNTIF(INDEX(CNTR_IOSupplyChain,MATCH(D162,CNTR_IOProcAndPrec,0),),C180)=0,"",INDEX(CNTR_IOProcAndPrec,MATCH(C180,INDEX(CNTR_IOSupplyChain,MATCH(D162,CNTR_IOProcAndPrec,0),),0))))</f>
        <v/>
      </c>
      <c r="E180" s="1423"/>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v>
      </c>
      <c r="AD180" s="269">
        <f>SUMIF(D_Processes!R:R,AB180,D_Processes!K:K)</f>
        <v>0</v>
      </c>
      <c r="AE180" s="268">
        <f>SUMIF(D_Processes!R:R,CONST_CNTR_TotProd &amp; D180,D_Processes!L:L)</f>
        <v>0</v>
      </c>
      <c r="AG180" s="102" t="b">
        <f t="shared" si="30"/>
        <v>0</v>
      </c>
    </row>
    <row r="181" spans="1:33" ht="12.75" customHeight="1" outlineLevel="1" x14ac:dyDescent="0.25">
      <c r="A181" s="92"/>
      <c r="B181" s="94"/>
      <c r="C181" s="978">
        <v>16</v>
      </c>
      <c r="D181" s="1422" t="str">
        <f>IF(D162="","",IF(COUNTIF(INDEX(CNTR_IOSupplyChain,MATCH(D162,CNTR_IOProcAndPrec,0),),C181)=0,"",INDEX(CNTR_IOProcAndPrec,MATCH(C181,INDEX(CNTR_IOSupplyChain,MATCH(D162,CNTR_IOProcAndPrec,0),),0))))</f>
        <v/>
      </c>
      <c r="E181" s="1423"/>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v>
      </c>
      <c r="AD181" s="269">
        <f>SUMIF(D_Processes!R:R,AB181,D_Processes!K:K)</f>
        <v>0</v>
      </c>
      <c r="AE181" s="268">
        <f>SUMIF(D_Processes!R:R,CONST_CNTR_TotProd &amp; D181,D_Processes!L:L)</f>
        <v>0</v>
      </c>
      <c r="AG181" s="102" t="b">
        <f t="shared" si="30"/>
        <v>0</v>
      </c>
    </row>
    <row r="182" spans="1:33" ht="12.75" customHeight="1" outlineLevel="1" x14ac:dyDescent="0.25">
      <c r="A182" s="92"/>
      <c r="B182" s="94"/>
      <c r="C182" s="978">
        <v>17</v>
      </c>
      <c r="D182" s="1422" t="str">
        <f>IF(D162="","",IF(COUNTIF(INDEX(CNTR_IOSupplyChain,MATCH(D162,CNTR_IOProcAndPrec,0),),C182)=0,"",INDEX(CNTR_IOProcAndPrec,MATCH(C182,INDEX(CNTR_IOSupplyChain,MATCH(D162,CNTR_IOProcAndPrec,0),),0))))</f>
        <v/>
      </c>
      <c r="E182" s="1423"/>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v>
      </c>
      <c r="AD182" s="269">
        <f>SUMIF(D_Processes!R:R,AB182,D_Processes!K:K)</f>
        <v>0</v>
      </c>
      <c r="AE182" s="268">
        <f>SUMIF(D_Processes!R:R,CONST_CNTR_TotProd &amp; D182,D_Processes!L:L)</f>
        <v>0</v>
      </c>
      <c r="AG182" s="102" t="b">
        <f t="shared" si="30"/>
        <v>0</v>
      </c>
    </row>
    <row r="183" spans="1:33" ht="12.75" customHeight="1" outlineLevel="1" x14ac:dyDescent="0.25">
      <c r="A183" s="92"/>
      <c r="B183" s="94"/>
      <c r="C183" s="978">
        <v>18</v>
      </c>
      <c r="D183" s="1422" t="str">
        <f>IF(D162="","",IF(COUNTIF(INDEX(CNTR_IOSupplyChain,MATCH(D162,CNTR_IOProcAndPrec,0),),C183)=0,"",INDEX(CNTR_IOProcAndPrec,MATCH(C183,INDEX(CNTR_IOSupplyChain,MATCH(D162,CNTR_IOProcAndPrec,0),),0))))</f>
        <v/>
      </c>
      <c r="E183" s="1423"/>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v>
      </c>
      <c r="AD183" s="269">
        <f>SUMIF(D_Processes!R:R,AB183,D_Processes!K:K)</f>
        <v>0</v>
      </c>
      <c r="AE183" s="268">
        <f>SUMIF(D_Processes!R:R,CONST_CNTR_TotProd &amp; D183,D_Processes!L:L)</f>
        <v>0</v>
      </c>
      <c r="AG183" s="102" t="b">
        <f t="shared" si="30"/>
        <v>0</v>
      </c>
    </row>
    <row r="184" spans="1:33" ht="12.75" customHeight="1" outlineLevel="1" x14ac:dyDescent="0.25">
      <c r="A184" s="92"/>
      <c r="B184" s="94"/>
      <c r="C184" s="978">
        <v>19</v>
      </c>
      <c r="D184" s="1422" t="str">
        <f>IF(D162="","",IF(COUNTIF(INDEX(CNTR_IOSupplyChain,MATCH(D162,CNTR_IOProcAndPrec,0),),C184)=0,"",INDEX(CNTR_IOProcAndPrec,MATCH(C184,INDEX(CNTR_IOSupplyChain,MATCH(D162,CNTR_IOProcAndPrec,0),),0))))</f>
        <v/>
      </c>
      <c r="E184" s="1423"/>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v>
      </c>
      <c r="AD184" s="269">
        <f>SUMIF(D_Processes!R:R,AB184,D_Processes!K:K)</f>
        <v>0</v>
      </c>
      <c r="AE184" s="268">
        <f>SUMIF(D_Processes!R:R,CONST_CNTR_TotProd &amp; D184,D_Processes!L:L)</f>
        <v>0</v>
      </c>
      <c r="AG184" s="102" t="b">
        <f t="shared" si="30"/>
        <v>0</v>
      </c>
    </row>
    <row r="185" spans="1:33" ht="12.75" customHeight="1" outlineLevel="1" x14ac:dyDescent="0.25">
      <c r="A185" s="92"/>
      <c r="B185" s="94"/>
      <c r="C185" s="978">
        <v>20</v>
      </c>
      <c r="D185" s="1422" t="str">
        <f>IF(D162="","",IF(COUNTIF(INDEX(CNTR_IOSupplyChain,MATCH(D162,CNTR_IOProcAndPrec,0),),C185)=0,"",INDEX(CNTR_IOProcAndPrec,MATCH(C185,INDEX(CNTR_IOSupplyChain,MATCH(D162,CNTR_IOProcAndPrec,0),),0))))</f>
        <v/>
      </c>
      <c r="E185" s="1423"/>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v>
      </c>
      <c r="AD185" s="269">
        <f>SUMIF(D_Processes!R:R,AB185,D_Processes!K:K)</f>
        <v>0</v>
      </c>
      <c r="AE185" s="268">
        <f>SUMIF(D_Processes!R:R,CONST_CNTR_TotProd &amp; D185,D_Processes!L:L)</f>
        <v>0</v>
      </c>
      <c r="AG185" s="102" t="b">
        <f t="shared" si="30"/>
        <v>0</v>
      </c>
    </row>
    <row r="186" spans="1:33" ht="12.75" customHeight="1" outlineLevel="1" x14ac:dyDescent="0.25">
      <c r="A186" s="92"/>
      <c r="B186" s="94"/>
      <c r="C186" s="978">
        <v>21</v>
      </c>
      <c r="D186" s="1422" t="str">
        <f>IF(D162="","",IF(COUNTIF(INDEX(CNTR_IOSupplyChain,MATCH(D162,CNTR_IOProcAndPrec,0),),C186)=0,"",INDEX(CNTR_IOProcAndPrec,MATCH(C186,INDEX(CNTR_IOSupplyChain,MATCH(D162,CNTR_IOProcAndPrec,0),),0))))</f>
        <v/>
      </c>
      <c r="E186" s="1423"/>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v>
      </c>
      <c r="AD186" s="269">
        <f>SUMIF(D_Processes!R:R,AB186,D_Processes!K:K)</f>
        <v>0</v>
      </c>
      <c r="AE186" s="268">
        <f>SUMIF(D_Processes!R:R,CONST_CNTR_TotProd &amp; D186,D_Processes!L:L)</f>
        <v>0</v>
      </c>
      <c r="AG186" s="102" t="b">
        <f t="shared" si="30"/>
        <v>0</v>
      </c>
    </row>
    <row r="187" spans="1:33" ht="12.75" customHeight="1" outlineLevel="1" x14ac:dyDescent="0.25">
      <c r="A187" s="92"/>
      <c r="B187" s="94"/>
      <c r="C187" s="978">
        <v>22</v>
      </c>
      <c r="D187" s="1422" t="str">
        <f>IF(D162="","",IF(COUNTIF(INDEX(CNTR_IOSupplyChain,MATCH(D162,CNTR_IOProcAndPrec,0),),C187)=0,"",INDEX(CNTR_IOProcAndPrec,MATCH(C187,INDEX(CNTR_IOSupplyChain,MATCH(D162,CNTR_IOProcAndPrec,0),),0))))</f>
        <v/>
      </c>
      <c r="E187" s="1423"/>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v>
      </c>
      <c r="AD187" s="269">
        <f>SUMIF(D_Processes!R:R,AB187,D_Processes!K:K)</f>
        <v>0</v>
      </c>
      <c r="AE187" s="268">
        <f>SUMIF(D_Processes!R:R,CONST_CNTR_TotProd &amp; D187,D_Processes!L:L)</f>
        <v>0</v>
      </c>
      <c r="AG187" s="102" t="b">
        <f t="shared" si="30"/>
        <v>0</v>
      </c>
    </row>
    <row r="188" spans="1:33" ht="12.75" customHeight="1" outlineLevel="1" x14ac:dyDescent="0.25">
      <c r="A188" s="92"/>
      <c r="B188" s="94"/>
      <c r="C188" s="978">
        <v>23</v>
      </c>
      <c r="D188" s="1422" t="str">
        <f>IF(D162="","",IF(COUNTIF(INDEX(CNTR_IOSupplyChain,MATCH(D162,CNTR_IOProcAndPrec,0),),C188)=0,"",INDEX(CNTR_IOProcAndPrec,MATCH(C188,INDEX(CNTR_IOSupplyChain,MATCH(D162,CNTR_IOProcAndPrec,0),),0))))</f>
        <v/>
      </c>
      <c r="E188" s="1423"/>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v>
      </c>
      <c r="AD188" s="269">
        <f>SUMIF(D_Processes!R:R,AB188,D_Processes!K:K)</f>
        <v>0</v>
      </c>
      <c r="AE188" s="268">
        <f>SUMIF(D_Processes!R:R,CONST_CNTR_TotProd &amp; D188,D_Processes!L:L)</f>
        <v>0</v>
      </c>
      <c r="AG188" s="102" t="b">
        <f t="shared" si="30"/>
        <v>0</v>
      </c>
    </row>
    <row r="189" spans="1:33" ht="12.75" customHeight="1" outlineLevel="1" x14ac:dyDescent="0.25">
      <c r="A189" s="92"/>
      <c r="B189" s="94"/>
      <c r="C189" s="978">
        <v>24</v>
      </c>
      <c r="D189" s="1422" t="str">
        <f>IF(D162="","",IF(COUNTIF(INDEX(CNTR_IOSupplyChain,MATCH(D162,CNTR_IOProcAndPrec,0),),C189)=0,"",INDEX(CNTR_IOProcAndPrec,MATCH(C189,INDEX(CNTR_IOSupplyChain,MATCH(D162,CNTR_IOProcAndPrec,0),),0))))</f>
        <v/>
      </c>
      <c r="E189" s="1423"/>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v>
      </c>
      <c r="AD189" s="269">
        <f>SUMIF(D_Processes!R:R,AB189,D_Processes!K:K)</f>
        <v>0</v>
      </c>
      <c r="AE189" s="268">
        <f>SUMIF(D_Processes!R:R,CONST_CNTR_TotProd &amp; D189,D_Processes!L:L)</f>
        <v>0</v>
      </c>
      <c r="AG189" s="102" t="b">
        <f t="shared" si="30"/>
        <v>0</v>
      </c>
    </row>
    <row r="190" spans="1:33" ht="12.75" customHeight="1" outlineLevel="1" x14ac:dyDescent="0.25">
      <c r="A190" s="92"/>
      <c r="B190" s="94"/>
      <c r="C190" s="978">
        <v>25</v>
      </c>
      <c r="D190" s="1422" t="str">
        <f>IF(D162="","",IF(COUNTIF(INDEX(CNTR_IOSupplyChain,MATCH(D162,CNTR_IOProcAndPrec,0),),C190)=0,"",INDEX(CNTR_IOProcAndPrec,MATCH(C190,INDEX(CNTR_IOSupplyChain,MATCH(D162,CNTR_IOProcAndPrec,0),),0))))</f>
        <v/>
      </c>
      <c r="E190" s="1423"/>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v>
      </c>
      <c r="AD190" s="269">
        <f>SUMIF(D_Processes!R:R,AB190,D_Processes!K:K)</f>
        <v>0</v>
      </c>
      <c r="AE190" s="268">
        <f>SUMIF(D_Processes!R:R,CONST_CNTR_TotProd &amp; D190,D_Processes!L:L)</f>
        <v>0</v>
      </c>
      <c r="AG190" s="102" t="b">
        <f t="shared" si="30"/>
        <v>0</v>
      </c>
    </row>
    <row r="191" spans="1:33" ht="12.75" customHeight="1" outlineLevel="1" x14ac:dyDescent="0.25">
      <c r="A191" s="92"/>
      <c r="B191" s="94"/>
      <c r="C191" s="978">
        <v>26</v>
      </c>
      <c r="D191" s="1422" t="str">
        <f>IF(D162="","",IF(COUNTIF(INDEX(CNTR_IOSupplyChain,MATCH(D162,CNTR_IOProcAndPrec,0),),C191)=0,"",INDEX(CNTR_IOProcAndPrec,MATCH(C191,INDEX(CNTR_IOSupplyChain,MATCH(D162,CNTR_IOProcAndPrec,0),),0))))</f>
        <v/>
      </c>
      <c r="E191" s="1423"/>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v>
      </c>
      <c r="AD191" s="269">
        <f>SUMIF(D_Processes!R:R,AB191,D_Processes!K:K)</f>
        <v>0</v>
      </c>
      <c r="AE191" s="268">
        <f>SUMIF(D_Processes!R:R,CONST_CNTR_TotProd &amp; D191,D_Processes!L:L)</f>
        <v>0</v>
      </c>
      <c r="AG191" s="102" t="b">
        <f t="shared" si="30"/>
        <v>0</v>
      </c>
    </row>
    <row r="192" spans="1:33" ht="12.75" customHeight="1" outlineLevel="1" x14ac:dyDescent="0.25">
      <c r="A192" s="92"/>
      <c r="B192" s="94"/>
      <c r="C192" s="978">
        <v>27</v>
      </c>
      <c r="D192" s="1422" t="str">
        <f>IF(D162="","",IF(COUNTIF(INDEX(CNTR_IOSupplyChain,MATCH(D162,CNTR_IOProcAndPrec,0),),C192)=0,"",INDEX(CNTR_IOProcAndPrec,MATCH(C192,INDEX(CNTR_IOSupplyChain,MATCH(D162,CNTR_IOProcAndPrec,0),),0))))</f>
        <v/>
      </c>
      <c r="E192" s="1423"/>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v>
      </c>
      <c r="AD192" s="269">
        <f>SUMIF(D_Processes!R:R,AB192,D_Processes!K:K)</f>
        <v>0</v>
      </c>
      <c r="AE192" s="268">
        <f>SUMIF(D_Processes!R:R,CONST_CNTR_TotProd &amp; D192,D_Processes!L:L)</f>
        <v>0</v>
      </c>
      <c r="AG192" s="102" t="b">
        <f t="shared" si="30"/>
        <v>0</v>
      </c>
    </row>
    <row r="193" spans="1:41" ht="12.75" customHeight="1" outlineLevel="1" x14ac:dyDescent="0.25">
      <c r="A193" s="92"/>
      <c r="B193" s="94"/>
      <c r="C193" s="978">
        <v>28</v>
      </c>
      <c r="D193" s="1422" t="str">
        <f>IF(D162="","",IF(COUNTIF(INDEX(CNTR_IOSupplyChain,MATCH(D162,CNTR_IOProcAndPrec,0),),C193)=0,"",INDEX(CNTR_IOProcAndPrec,MATCH(C193,INDEX(CNTR_IOSupplyChain,MATCH(D162,CNTR_IOProcAndPrec,0),),0))))</f>
        <v/>
      </c>
      <c r="E193" s="1423"/>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v>
      </c>
      <c r="AD193" s="269">
        <f>SUMIF(D_Processes!R:R,AB193,D_Processes!K:K)</f>
        <v>0</v>
      </c>
      <c r="AE193" s="268">
        <f>SUMIF(D_Processes!R:R,CONST_CNTR_TotProd &amp; D193,D_Processes!L:L)</f>
        <v>0</v>
      </c>
      <c r="AG193" s="102" t="b">
        <f t="shared" si="30"/>
        <v>0</v>
      </c>
    </row>
    <row r="194" spans="1:41" ht="12.75" customHeight="1" outlineLevel="1" x14ac:dyDescent="0.25">
      <c r="A194" s="92"/>
      <c r="B194" s="94"/>
      <c r="C194" s="978">
        <v>29</v>
      </c>
      <c r="D194" s="1422" t="str">
        <f>IF(D162="","",IF(COUNTIF(INDEX(CNTR_IOSupplyChain,MATCH(D162,CNTR_IOProcAndPrec,0),),C194)=0,"",INDEX(CNTR_IOProcAndPrec,MATCH(C194,INDEX(CNTR_IOSupplyChain,MATCH(D162,CNTR_IOProcAndPrec,0),),0))))</f>
        <v/>
      </c>
      <c r="E194" s="1423"/>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v>
      </c>
      <c r="AD194" s="269">
        <f>SUMIF(D_Processes!R:R,AB194,D_Processes!K:K)</f>
        <v>0</v>
      </c>
      <c r="AE194" s="268">
        <f>SUMIF(D_Processes!R:R,CONST_CNTR_TotProd &amp; D194,D_Processes!L:L)</f>
        <v>0</v>
      </c>
      <c r="AG194" s="102" t="b">
        <f t="shared" si="30"/>
        <v>0</v>
      </c>
    </row>
    <row r="195" spans="1:41" ht="12.75" customHeight="1" outlineLevel="1" thickBot="1" x14ac:dyDescent="0.3">
      <c r="A195" s="92"/>
      <c r="B195" s="94"/>
      <c r="C195" s="978">
        <v>30</v>
      </c>
      <c r="D195" s="1424" t="str">
        <f>IF(D162="","",IF(COUNTIF(INDEX(CNTR_IOSupplyChain,MATCH(D162,CNTR_IOProcAndPrec,0),),C195)=0,"",INDEX(CNTR_IOProcAndPrec,MATCH(C195,INDEX(CNTR_IOSupplyChain,MATCH(D162,CNTR_IOProcAndPrec,0),),0))))</f>
        <v/>
      </c>
      <c r="E195" s="1425"/>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v>
      </c>
      <c r="AD195" s="274">
        <f>SUMIF(D_Processes!R:R,AB195,D_Processes!K:K)</f>
        <v>0</v>
      </c>
      <c r="AE195" s="273">
        <f>SUMIF(D_Processes!R:R,CONST_CNTR_TotProd &amp; D195,D_Processes!L:L)</f>
        <v>0</v>
      </c>
      <c r="AG195" s="102" t="b">
        <f t="shared" si="30"/>
        <v>0</v>
      </c>
    </row>
    <row r="196" spans="1:41" ht="12.75" customHeight="1" thickBot="1" x14ac:dyDescent="0.3">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25">
      <c r="A198" s="977"/>
      <c r="B198" s="981"/>
      <c r="C198" s="1415">
        <f>C162+1</f>
        <v>2</v>
      </c>
      <c r="D198" s="1418" t="str">
        <f>IF(INDEX(CNTR_List_ExistProdProcNames,C198)=CONST_NA,"",INDEX(CNTR_List_ExistProdProcNames,C198))</f>
        <v/>
      </c>
      <c r="E198" s="1419"/>
      <c r="F198" s="1426" t="str">
        <f>Translations!$B$107</f>
        <v>Aggregated goods category</v>
      </c>
      <c r="G198" s="250" t="str">
        <f>Translations!$B$584</f>
        <v>Mass share</v>
      </c>
      <c r="H198" s="1428"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8" t="str">
        <f>Translations!$B$594</f>
        <v>Source of electricity EF</v>
      </c>
      <c r="P198" s="250" t="str">
        <f>Translations!$B$480</f>
        <v>Embedded electricity</v>
      </c>
      <c r="Q198" s="1430" t="str">
        <f>Translations!$B$1957</f>
        <v>Country code</v>
      </c>
      <c r="R198" s="1411" t="str">
        <f>Translations!$B$351</f>
        <v>CP due (per produced t or MWh)</v>
      </c>
      <c r="S198" s="1413"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
      <c r="A199" s="977"/>
      <c r="B199" s="981"/>
      <c r="C199" s="1416"/>
      <c r="D199" s="1420"/>
      <c r="E199" s="1421"/>
      <c r="F199" s="1427"/>
      <c r="G199" s="251" t="str">
        <f>IF($F200="",CONST_t,INDEX(CONST_LIST_GoodsUnit,MATCH($F200,CONST_LIST_Goods,0))) &amp;"/"&amp; IF($F200="",CONST_t,INDEX(CONST_LIST_GoodsUnit,MATCH($F200,CONST_LIST_Goods,0)))</f>
        <v>t/t</v>
      </c>
      <c r="H199" s="1429"/>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9"/>
      <c r="P199" s="251" t="str">
        <f>CONST_MWh &amp; "/" &amp; IF($F200="",CONST_t,INDEX(CONST_LIST_GoodsUnit,MATCH($F200,CONST_LIST_Goods,0)))</f>
        <v>MWh/t</v>
      </c>
      <c r="Q199" s="1431"/>
      <c r="R199" s="1412"/>
      <c r="S199" s="1414"/>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
      <c r="A200" s="92"/>
      <c r="B200" s="94"/>
      <c r="C200" s="1417"/>
      <c r="D200" s="1432" t="str">
        <f>Translations!$B$600</f>
        <v>Total production process</v>
      </c>
      <c r="E200" s="1433"/>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
      <c r="A201" s="92"/>
      <c r="B201" s="94"/>
      <c r="C201" s="144"/>
      <c r="D201" s="1434" t="str">
        <f>D198</f>
        <v/>
      </c>
      <c r="E201" s="1435"/>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25">
      <c r="A202" s="92"/>
      <c r="B202" s="94"/>
      <c r="C202" s="978">
        <v>1</v>
      </c>
      <c r="D202" s="1436" t="str">
        <f>IF(D198="","",IF(COUNTIF(INDEX(CNTR_IOSupplyChain,MATCH(D198,CNTR_IOProcAndPrec,0),),C202)=0,"",INDEX(CNTR_IOProcAndPrec,MATCH(C202,INDEX(CNTR_IOSupplyChain,MATCH(D198,CNTR_IOProcAndPrec,0),),0))))</f>
        <v/>
      </c>
      <c r="E202" s="1437"/>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25">
      <c r="A203" s="92"/>
      <c r="B203" s="94"/>
      <c r="C203" s="978">
        <v>2</v>
      </c>
      <c r="D203" s="1422" t="str">
        <f>IF(D198="","",IF(COUNTIF(INDEX(CNTR_IOSupplyChain,MATCH(D198,CNTR_IOProcAndPrec,0),),C203)=0,"",INDEX(CNTR_IOProcAndPrec,MATCH(C203,INDEX(CNTR_IOSupplyChain,MATCH(D198,CNTR_IOProcAndPrec,0),),0))))</f>
        <v/>
      </c>
      <c r="E203" s="1423"/>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25">
      <c r="A204" s="92"/>
      <c r="B204" s="94"/>
      <c r="C204" s="978">
        <v>3</v>
      </c>
      <c r="D204" s="1422" t="str">
        <f>IF(D198="","",IF(COUNTIF(INDEX(CNTR_IOSupplyChain,MATCH(D198,CNTR_IOProcAndPrec,0),),C204)=0,"",INDEX(CNTR_IOProcAndPrec,MATCH(C204,INDEX(CNTR_IOSupplyChain,MATCH(D198,CNTR_IOProcAndPrec,0),),0))))</f>
        <v/>
      </c>
      <c r="E204" s="1423"/>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25">
      <c r="A205" s="92"/>
      <c r="B205" s="94"/>
      <c r="C205" s="978">
        <v>4</v>
      </c>
      <c r="D205" s="1422" t="str">
        <f>IF(D198="","",IF(COUNTIF(INDEX(CNTR_IOSupplyChain,MATCH(D198,CNTR_IOProcAndPrec,0),),C205)=0,"",INDEX(CNTR_IOProcAndPrec,MATCH(C205,INDEX(CNTR_IOSupplyChain,MATCH(D198,CNTR_IOProcAndPrec,0),),0))))</f>
        <v/>
      </c>
      <c r="E205" s="1423"/>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25">
      <c r="A206" s="92"/>
      <c r="B206" s="94"/>
      <c r="C206" s="978">
        <v>5</v>
      </c>
      <c r="D206" s="1422" t="str">
        <f>IF(D198="","",IF(COUNTIF(INDEX(CNTR_IOSupplyChain,MATCH(D198,CNTR_IOProcAndPrec,0),),C206)=0,"",INDEX(CNTR_IOProcAndPrec,MATCH(C206,INDEX(CNTR_IOSupplyChain,MATCH(D198,CNTR_IOProcAndPrec,0),),0))))</f>
        <v/>
      </c>
      <c r="E206" s="1423"/>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25">
      <c r="A207" s="92"/>
      <c r="B207" s="94"/>
      <c r="C207" s="978">
        <v>6</v>
      </c>
      <c r="D207" s="1422" t="str">
        <f>IF(D198="","",IF(COUNTIF(INDEX(CNTR_IOSupplyChain,MATCH(D198,CNTR_IOProcAndPrec,0),),C207)=0,"",INDEX(CNTR_IOProcAndPrec,MATCH(C207,INDEX(CNTR_IOSupplyChain,MATCH(D198,CNTR_IOProcAndPrec,0),),0))))</f>
        <v/>
      </c>
      <c r="E207" s="1423"/>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25">
      <c r="A208" s="92"/>
      <c r="B208" s="94"/>
      <c r="C208" s="978">
        <v>7</v>
      </c>
      <c r="D208" s="1422" t="str">
        <f>IF(D198="","",IF(COUNTIF(INDEX(CNTR_IOSupplyChain,MATCH(D198,CNTR_IOProcAndPrec,0),),C208)=0,"",INDEX(CNTR_IOProcAndPrec,MATCH(C208,INDEX(CNTR_IOSupplyChain,MATCH(D198,CNTR_IOProcAndPrec,0),),0))))</f>
        <v/>
      </c>
      <c r="E208" s="1423"/>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25">
      <c r="A209" s="92"/>
      <c r="B209" s="94"/>
      <c r="C209" s="978">
        <v>8</v>
      </c>
      <c r="D209" s="1422" t="str">
        <f>IF(D198="","",IF(COUNTIF(INDEX(CNTR_IOSupplyChain,MATCH(D198,CNTR_IOProcAndPrec,0),),C209)=0,"",INDEX(CNTR_IOProcAndPrec,MATCH(C209,INDEX(CNTR_IOSupplyChain,MATCH(D198,CNTR_IOProcAndPrec,0),),0))))</f>
        <v/>
      </c>
      <c r="E209" s="1423"/>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25">
      <c r="A210" s="92"/>
      <c r="B210" s="94"/>
      <c r="C210" s="978">
        <v>9</v>
      </c>
      <c r="D210" s="1422" t="str">
        <f>IF(D198="","",IF(COUNTIF(INDEX(CNTR_IOSupplyChain,MATCH(D198,CNTR_IOProcAndPrec,0),),C210)=0,"",INDEX(CNTR_IOProcAndPrec,MATCH(C210,INDEX(CNTR_IOSupplyChain,MATCH(D198,CNTR_IOProcAndPrec,0),),0))))</f>
        <v/>
      </c>
      <c r="E210" s="1423"/>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25">
      <c r="A211" s="92"/>
      <c r="B211" s="94"/>
      <c r="C211" s="978">
        <v>10</v>
      </c>
      <c r="D211" s="1422" t="str">
        <f>IF(D198="","",IF(COUNTIF(INDEX(CNTR_IOSupplyChain,MATCH(D198,CNTR_IOProcAndPrec,0),),C211)=0,"",INDEX(CNTR_IOProcAndPrec,MATCH(C211,INDEX(CNTR_IOSupplyChain,MATCH(D198,CNTR_IOProcAndPrec,0),),0))))</f>
        <v/>
      </c>
      <c r="E211" s="1423"/>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25">
      <c r="A212" s="92"/>
      <c r="B212" s="94"/>
      <c r="C212" s="978">
        <v>11</v>
      </c>
      <c r="D212" s="1422" t="str">
        <f>IF(D198="","",IF(COUNTIF(INDEX(CNTR_IOSupplyChain,MATCH(D198,CNTR_IOProcAndPrec,0),),C212)=0,"",INDEX(CNTR_IOProcAndPrec,MATCH(C212,INDEX(CNTR_IOSupplyChain,MATCH(D198,CNTR_IOProcAndPrec,0),),0))))</f>
        <v/>
      </c>
      <c r="E212" s="1423"/>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25">
      <c r="A213" s="92"/>
      <c r="B213" s="94"/>
      <c r="C213" s="978">
        <v>12</v>
      </c>
      <c r="D213" s="1422" t="str">
        <f>IF(D198="","",IF(COUNTIF(INDEX(CNTR_IOSupplyChain,MATCH(D198,CNTR_IOProcAndPrec,0),),C213)=0,"",INDEX(CNTR_IOProcAndPrec,MATCH(C213,INDEX(CNTR_IOSupplyChain,MATCH(D198,CNTR_IOProcAndPrec,0),),0))))</f>
        <v/>
      </c>
      <c r="E213" s="1423"/>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25">
      <c r="A214" s="92"/>
      <c r="B214" s="94"/>
      <c r="C214" s="978">
        <v>13</v>
      </c>
      <c r="D214" s="1422" t="str">
        <f>IF(D198="","",IF(COUNTIF(INDEX(CNTR_IOSupplyChain,MATCH(D198,CNTR_IOProcAndPrec,0),),C214)=0,"",INDEX(CNTR_IOProcAndPrec,MATCH(C214,INDEX(CNTR_IOSupplyChain,MATCH(D198,CNTR_IOProcAndPrec,0),),0))))</f>
        <v/>
      </c>
      <c r="E214" s="1423"/>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25">
      <c r="A215" s="92"/>
      <c r="B215" s="94"/>
      <c r="C215" s="978">
        <v>14</v>
      </c>
      <c r="D215" s="1422" t="str">
        <f>IF(D198="","",IF(COUNTIF(INDEX(CNTR_IOSupplyChain,MATCH(D198,CNTR_IOProcAndPrec,0),),C215)=0,"",INDEX(CNTR_IOProcAndPrec,MATCH(C215,INDEX(CNTR_IOSupplyChain,MATCH(D198,CNTR_IOProcAndPrec,0),),0))))</f>
        <v/>
      </c>
      <c r="E215" s="1423"/>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25">
      <c r="A216" s="92"/>
      <c r="B216" s="94"/>
      <c r="C216" s="978">
        <v>15</v>
      </c>
      <c r="D216" s="1422" t="str">
        <f>IF(D198="","",IF(COUNTIF(INDEX(CNTR_IOSupplyChain,MATCH(D198,CNTR_IOProcAndPrec,0),),C216)=0,"",INDEX(CNTR_IOProcAndPrec,MATCH(C216,INDEX(CNTR_IOSupplyChain,MATCH(D198,CNTR_IOProcAndPrec,0),),0))))</f>
        <v/>
      </c>
      <c r="E216" s="1423"/>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25">
      <c r="A217" s="92"/>
      <c r="B217" s="94"/>
      <c r="C217" s="978">
        <v>16</v>
      </c>
      <c r="D217" s="1422" t="str">
        <f>IF(D198="","",IF(COUNTIF(INDEX(CNTR_IOSupplyChain,MATCH(D198,CNTR_IOProcAndPrec,0),),C217)=0,"",INDEX(CNTR_IOProcAndPrec,MATCH(C217,INDEX(CNTR_IOSupplyChain,MATCH(D198,CNTR_IOProcAndPrec,0),),0))))</f>
        <v/>
      </c>
      <c r="E217" s="1423"/>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25">
      <c r="A218" s="92"/>
      <c r="B218" s="94"/>
      <c r="C218" s="978">
        <v>17</v>
      </c>
      <c r="D218" s="1422" t="str">
        <f>IF(D198="","",IF(COUNTIF(INDEX(CNTR_IOSupplyChain,MATCH(D198,CNTR_IOProcAndPrec,0),),C218)=0,"",INDEX(CNTR_IOProcAndPrec,MATCH(C218,INDEX(CNTR_IOSupplyChain,MATCH(D198,CNTR_IOProcAndPrec,0),),0))))</f>
        <v/>
      </c>
      <c r="E218" s="1423"/>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25">
      <c r="A219" s="92"/>
      <c r="B219" s="94"/>
      <c r="C219" s="978">
        <v>18</v>
      </c>
      <c r="D219" s="1422" t="str">
        <f>IF(D198="","",IF(COUNTIF(INDEX(CNTR_IOSupplyChain,MATCH(D198,CNTR_IOProcAndPrec,0),),C219)=0,"",INDEX(CNTR_IOProcAndPrec,MATCH(C219,INDEX(CNTR_IOSupplyChain,MATCH(D198,CNTR_IOProcAndPrec,0),),0))))</f>
        <v/>
      </c>
      <c r="E219" s="1423"/>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25">
      <c r="A220" s="92"/>
      <c r="B220" s="94"/>
      <c r="C220" s="978">
        <v>19</v>
      </c>
      <c r="D220" s="1422" t="str">
        <f>IF(D198="","",IF(COUNTIF(INDEX(CNTR_IOSupplyChain,MATCH(D198,CNTR_IOProcAndPrec,0),),C220)=0,"",INDEX(CNTR_IOProcAndPrec,MATCH(C220,INDEX(CNTR_IOSupplyChain,MATCH(D198,CNTR_IOProcAndPrec,0),),0))))</f>
        <v/>
      </c>
      <c r="E220" s="1423"/>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25">
      <c r="A221" s="92"/>
      <c r="B221" s="94"/>
      <c r="C221" s="978">
        <v>20</v>
      </c>
      <c r="D221" s="1422" t="str">
        <f>IF(D198="","",IF(COUNTIF(INDEX(CNTR_IOSupplyChain,MATCH(D198,CNTR_IOProcAndPrec,0),),C221)=0,"",INDEX(CNTR_IOProcAndPrec,MATCH(C221,INDEX(CNTR_IOSupplyChain,MATCH(D198,CNTR_IOProcAndPrec,0),),0))))</f>
        <v/>
      </c>
      <c r="E221" s="1423"/>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25">
      <c r="A222" s="92"/>
      <c r="B222" s="94"/>
      <c r="C222" s="978">
        <v>21</v>
      </c>
      <c r="D222" s="1422" t="str">
        <f>IF(D198="","",IF(COUNTIF(INDEX(CNTR_IOSupplyChain,MATCH(D198,CNTR_IOProcAndPrec,0),),C222)=0,"",INDEX(CNTR_IOProcAndPrec,MATCH(C222,INDEX(CNTR_IOSupplyChain,MATCH(D198,CNTR_IOProcAndPrec,0),),0))))</f>
        <v/>
      </c>
      <c r="E222" s="1423"/>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25">
      <c r="A223" s="92"/>
      <c r="B223" s="94"/>
      <c r="C223" s="978">
        <v>22</v>
      </c>
      <c r="D223" s="1422" t="str">
        <f>IF(D198="","",IF(COUNTIF(INDEX(CNTR_IOSupplyChain,MATCH(D198,CNTR_IOProcAndPrec,0),),C223)=0,"",INDEX(CNTR_IOProcAndPrec,MATCH(C223,INDEX(CNTR_IOSupplyChain,MATCH(D198,CNTR_IOProcAndPrec,0),),0))))</f>
        <v/>
      </c>
      <c r="E223" s="1423"/>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25">
      <c r="A224" s="92"/>
      <c r="B224" s="94"/>
      <c r="C224" s="978">
        <v>23</v>
      </c>
      <c r="D224" s="1422" t="str">
        <f>IF(D198="","",IF(COUNTIF(INDEX(CNTR_IOSupplyChain,MATCH(D198,CNTR_IOProcAndPrec,0),),C224)=0,"",INDEX(CNTR_IOProcAndPrec,MATCH(C224,INDEX(CNTR_IOSupplyChain,MATCH(D198,CNTR_IOProcAndPrec,0),),0))))</f>
        <v/>
      </c>
      <c r="E224" s="1423"/>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25">
      <c r="A225" s="92"/>
      <c r="B225" s="94"/>
      <c r="C225" s="978">
        <v>24</v>
      </c>
      <c r="D225" s="1422" t="str">
        <f>IF(D198="","",IF(COUNTIF(INDEX(CNTR_IOSupplyChain,MATCH(D198,CNTR_IOProcAndPrec,0),),C225)=0,"",INDEX(CNTR_IOProcAndPrec,MATCH(C225,INDEX(CNTR_IOSupplyChain,MATCH(D198,CNTR_IOProcAndPrec,0),),0))))</f>
        <v/>
      </c>
      <c r="E225" s="1423"/>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25">
      <c r="A226" s="92"/>
      <c r="B226" s="94"/>
      <c r="C226" s="978">
        <v>25</v>
      </c>
      <c r="D226" s="1422" t="str">
        <f>IF(D198="","",IF(COUNTIF(INDEX(CNTR_IOSupplyChain,MATCH(D198,CNTR_IOProcAndPrec,0),),C226)=0,"",INDEX(CNTR_IOProcAndPrec,MATCH(C226,INDEX(CNTR_IOSupplyChain,MATCH(D198,CNTR_IOProcAndPrec,0),),0))))</f>
        <v/>
      </c>
      <c r="E226" s="1423"/>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25">
      <c r="A227" s="92"/>
      <c r="B227" s="94"/>
      <c r="C227" s="978">
        <v>26</v>
      </c>
      <c r="D227" s="1422" t="str">
        <f>IF(D198="","",IF(COUNTIF(INDEX(CNTR_IOSupplyChain,MATCH(D198,CNTR_IOProcAndPrec,0),),C227)=0,"",INDEX(CNTR_IOProcAndPrec,MATCH(C227,INDEX(CNTR_IOSupplyChain,MATCH(D198,CNTR_IOProcAndPrec,0),),0))))</f>
        <v/>
      </c>
      <c r="E227" s="1423"/>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25">
      <c r="A228" s="92"/>
      <c r="B228" s="94"/>
      <c r="C228" s="978">
        <v>27</v>
      </c>
      <c r="D228" s="1422" t="str">
        <f>IF(D198="","",IF(COUNTIF(INDEX(CNTR_IOSupplyChain,MATCH(D198,CNTR_IOProcAndPrec,0),),C228)=0,"",INDEX(CNTR_IOProcAndPrec,MATCH(C228,INDEX(CNTR_IOSupplyChain,MATCH(D198,CNTR_IOProcAndPrec,0),),0))))</f>
        <v/>
      </c>
      <c r="E228" s="1423"/>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25">
      <c r="A229" s="92"/>
      <c r="B229" s="94"/>
      <c r="C229" s="978">
        <v>28</v>
      </c>
      <c r="D229" s="1422" t="str">
        <f>IF(D198="","",IF(COUNTIF(INDEX(CNTR_IOSupplyChain,MATCH(D198,CNTR_IOProcAndPrec,0),),C229)=0,"",INDEX(CNTR_IOProcAndPrec,MATCH(C229,INDEX(CNTR_IOSupplyChain,MATCH(D198,CNTR_IOProcAndPrec,0),),0))))</f>
        <v/>
      </c>
      <c r="E229" s="1423"/>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25">
      <c r="A230" s="92"/>
      <c r="B230" s="94"/>
      <c r="C230" s="978">
        <v>29</v>
      </c>
      <c r="D230" s="1422" t="str">
        <f>IF(D198="","",IF(COUNTIF(INDEX(CNTR_IOSupplyChain,MATCH(D198,CNTR_IOProcAndPrec,0),),C230)=0,"",INDEX(CNTR_IOProcAndPrec,MATCH(C230,INDEX(CNTR_IOSupplyChain,MATCH(D198,CNTR_IOProcAndPrec,0),),0))))</f>
        <v/>
      </c>
      <c r="E230" s="1423"/>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
      <c r="A231" s="92"/>
      <c r="B231" s="94"/>
      <c r="C231" s="978">
        <v>30</v>
      </c>
      <c r="D231" s="1424" t="str">
        <f>IF(D198="","",IF(COUNTIF(INDEX(CNTR_IOSupplyChain,MATCH(D198,CNTR_IOProcAndPrec,0),),C231)=0,"",INDEX(CNTR_IOProcAndPrec,MATCH(C231,INDEX(CNTR_IOSupplyChain,MATCH(D198,CNTR_IOProcAndPrec,0),),0))))</f>
        <v/>
      </c>
      <c r="E231" s="1425"/>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25">
      <c r="A234" s="977"/>
      <c r="B234" s="981"/>
      <c r="C234" s="1415">
        <f>C198+1</f>
        <v>3</v>
      </c>
      <c r="D234" s="1418" t="str">
        <f>IF(INDEX(CNTR_List_ExistProdProcNames,C234)=CONST_NA,"",INDEX(CNTR_List_ExistProdProcNames,C234))</f>
        <v/>
      </c>
      <c r="E234" s="1419"/>
      <c r="F234" s="1426" t="str">
        <f>Translations!$B$107</f>
        <v>Aggregated goods category</v>
      </c>
      <c r="G234" s="250" t="str">
        <f>Translations!$B$584</f>
        <v>Mass share</v>
      </c>
      <c r="H234" s="1428"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8" t="str">
        <f>Translations!$B$594</f>
        <v>Source of electricity EF</v>
      </c>
      <c r="P234" s="250" t="str">
        <f>Translations!$B$480</f>
        <v>Embedded electricity</v>
      </c>
      <c r="Q234" s="1430" t="str">
        <f>Translations!$B$1957</f>
        <v>Country code</v>
      </c>
      <c r="R234" s="1411" t="str">
        <f>Translations!$B$351</f>
        <v>CP due (per produced t or MWh)</v>
      </c>
      <c r="S234" s="1413"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
      <c r="A235" s="977"/>
      <c r="B235" s="981"/>
      <c r="C235" s="1416"/>
      <c r="D235" s="1420"/>
      <c r="E235" s="1421"/>
      <c r="F235" s="1427"/>
      <c r="G235" s="251" t="str">
        <f>IF($F236="",CONST_t,INDEX(CONST_LIST_GoodsUnit,MATCH($F236,CONST_LIST_Goods,0))) &amp;"/"&amp; IF($F236="",CONST_t,INDEX(CONST_LIST_GoodsUnit,MATCH($F236,CONST_LIST_Goods,0)))</f>
        <v>t/t</v>
      </c>
      <c r="H235" s="1429"/>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9"/>
      <c r="P235" s="251" t="str">
        <f>CONST_MWh &amp; "/" &amp; IF($F236="",CONST_t,INDEX(CONST_LIST_GoodsUnit,MATCH($F236,CONST_LIST_Goods,0)))</f>
        <v>MWh/t</v>
      </c>
      <c r="Q235" s="1431"/>
      <c r="R235" s="1412"/>
      <c r="S235" s="1414"/>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
      <c r="A236" s="92"/>
      <c r="B236" s="94"/>
      <c r="C236" s="1417"/>
      <c r="D236" s="1432" t="str">
        <f>Translations!$B$600</f>
        <v>Total production process</v>
      </c>
      <c r="E236" s="1433"/>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
      <c r="A237" s="92"/>
      <c r="B237" s="94"/>
      <c r="C237" s="144"/>
      <c r="D237" s="1434" t="str">
        <f>D234</f>
        <v/>
      </c>
      <c r="E237" s="1435"/>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25">
      <c r="A238" s="92"/>
      <c r="B238" s="94"/>
      <c r="C238" s="978">
        <v>1</v>
      </c>
      <c r="D238" s="1436" t="str">
        <f>IF(D234="","",IF(COUNTIF(INDEX(CNTR_IOSupplyChain,MATCH(D234,CNTR_IOProcAndPrec,0),),C238)=0,"",INDEX(CNTR_IOProcAndPrec,MATCH(C238,INDEX(CNTR_IOSupplyChain,MATCH(D234,CNTR_IOProcAndPrec,0),),0))))</f>
        <v/>
      </c>
      <c r="E238" s="1437"/>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25">
      <c r="A239" s="92"/>
      <c r="B239" s="94"/>
      <c r="C239" s="978">
        <v>2</v>
      </c>
      <c r="D239" s="1422" t="str">
        <f>IF(D234="","",IF(COUNTIF(INDEX(CNTR_IOSupplyChain,MATCH(D234,CNTR_IOProcAndPrec,0),),C239)=0,"",INDEX(CNTR_IOProcAndPrec,MATCH(C239,INDEX(CNTR_IOSupplyChain,MATCH(D234,CNTR_IOProcAndPrec,0),),0))))</f>
        <v/>
      </c>
      <c r="E239" s="1423"/>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25">
      <c r="A240" s="92"/>
      <c r="B240" s="94"/>
      <c r="C240" s="978">
        <v>3</v>
      </c>
      <c r="D240" s="1422" t="str">
        <f>IF(D234="","",IF(COUNTIF(INDEX(CNTR_IOSupplyChain,MATCH(D234,CNTR_IOProcAndPrec,0),),C240)=0,"",INDEX(CNTR_IOProcAndPrec,MATCH(C240,INDEX(CNTR_IOSupplyChain,MATCH(D234,CNTR_IOProcAndPrec,0),),0))))</f>
        <v/>
      </c>
      <c r="E240" s="1423"/>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25">
      <c r="A241" s="92"/>
      <c r="B241" s="94"/>
      <c r="C241" s="978">
        <v>4</v>
      </c>
      <c r="D241" s="1422" t="str">
        <f>IF(D234="","",IF(COUNTIF(INDEX(CNTR_IOSupplyChain,MATCH(D234,CNTR_IOProcAndPrec,0),),C241)=0,"",INDEX(CNTR_IOProcAndPrec,MATCH(C241,INDEX(CNTR_IOSupplyChain,MATCH(D234,CNTR_IOProcAndPrec,0),),0))))</f>
        <v/>
      </c>
      <c r="E241" s="1423"/>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25">
      <c r="A242" s="92"/>
      <c r="B242" s="94"/>
      <c r="C242" s="978">
        <v>5</v>
      </c>
      <c r="D242" s="1422" t="str">
        <f>IF(D234="","",IF(COUNTIF(INDEX(CNTR_IOSupplyChain,MATCH(D234,CNTR_IOProcAndPrec,0),),C242)=0,"",INDEX(CNTR_IOProcAndPrec,MATCH(C242,INDEX(CNTR_IOSupplyChain,MATCH(D234,CNTR_IOProcAndPrec,0),),0))))</f>
        <v/>
      </c>
      <c r="E242" s="1423"/>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25">
      <c r="A243" s="92"/>
      <c r="B243" s="94"/>
      <c r="C243" s="978">
        <v>6</v>
      </c>
      <c r="D243" s="1422" t="str">
        <f>IF(D234="","",IF(COUNTIF(INDEX(CNTR_IOSupplyChain,MATCH(D234,CNTR_IOProcAndPrec,0),),C243)=0,"",INDEX(CNTR_IOProcAndPrec,MATCH(C243,INDEX(CNTR_IOSupplyChain,MATCH(D234,CNTR_IOProcAndPrec,0),),0))))</f>
        <v/>
      </c>
      <c r="E243" s="1423"/>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25">
      <c r="A244" s="92"/>
      <c r="B244" s="94"/>
      <c r="C244" s="978">
        <v>7</v>
      </c>
      <c r="D244" s="1422" t="str">
        <f>IF(D234="","",IF(COUNTIF(INDEX(CNTR_IOSupplyChain,MATCH(D234,CNTR_IOProcAndPrec,0),),C244)=0,"",INDEX(CNTR_IOProcAndPrec,MATCH(C244,INDEX(CNTR_IOSupplyChain,MATCH(D234,CNTR_IOProcAndPrec,0),),0))))</f>
        <v/>
      </c>
      <c r="E244" s="1423"/>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25">
      <c r="A245" s="92"/>
      <c r="B245" s="94"/>
      <c r="C245" s="978">
        <v>8</v>
      </c>
      <c r="D245" s="1422" t="str">
        <f>IF(D234="","",IF(COUNTIF(INDEX(CNTR_IOSupplyChain,MATCH(D234,CNTR_IOProcAndPrec,0),),C245)=0,"",INDEX(CNTR_IOProcAndPrec,MATCH(C245,INDEX(CNTR_IOSupplyChain,MATCH(D234,CNTR_IOProcAndPrec,0),),0))))</f>
        <v/>
      </c>
      <c r="E245" s="1423"/>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25">
      <c r="A246" s="92"/>
      <c r="B246" s="94"/>
      <c r="C246" s="978">
        <v>9</v>
      </c>
      <c r="D246" s="1422" t="str">
        <f>IF(D234="","",IF(COUNTIF(INDEX(CNTR_IOSupplyChain,MATCH(D234,CNTR_IOProcAndPrec,0),),C246)=0,"",INDEX(CNTR_IOProcAndPrec,MATCH(C246,INDEX(CNTR_IOSupplyChain,MATCH(D234,CNTR_IOProcAndPrec,0),),0))))</f>
        <v/>
      </c>
      <c r="E246" s="1423"/>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25">
      <c r="A247" s="92"/>
      <c r="B247" s="94"/>
      <c r="C247" s="978">
        <v>10</v>
      </c>
      <c r="D247" s="1422" t="str">
        <f>IF(D234="","",IF(COUNTIF(INDEX(CNTR_IOSupplyChain,MATCH(D234,CNTR_IOProcAndPrec,0),),C247)=0,"",INDEX(CNTR_IOProcAndPrec,MATCH(C247,INDEX(CNTR_IOSupplyChain,MATCH(D234,CNTR_IOProcAndPrec,0),),0))))</f>
        <v/>
      </c>
      <c r="E247" s="1423"/>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25">
      <c r="A248" s="92"/>
      <c r="B248" s="94"/>
      <c r="C248" s="978">
        <v>11</v>
      </c>
      <c r="D248" s="1422" t="str">
        <f>IF(D234="","",IF(COUNTIF(INDEX(CNTR_IOSupplyChain,MATCH(D234,CNTR_IOProcAndPrec,0),),C248)=0,"",INDEX(CNTR_IOProcAndPrec,MATCH(C248,INDEX(CNTR_IOSupplyChain,MATCH(D234,CNTR_IOProcAndPrec,0),),0))))</f>
        <v/>
      </c>
      <c r="E248" s="1423"/>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25">
      <c r="A249" s="92"/>
      <c r="B249" s="94"/>
      <c r="C249" s="978">
        <v>12</v>
      </c>
      <c r="D249" s="1422" t="str">
        <f>IF(D234="","",IF(COUNTIF(INDEX(CNTR_IOSupplyChain,MATCH(D234,CNTR_IOProcAndPrec,0),),C249)=0,"",INDEX(CNTR_IOProcAndPrec,MATCH(C249,INDEX(CNTR_IOSupplyChain,MATCH(D234,CNTR_IOProcAndPrec,0),),0))))</f>
        <v/>
      </c>
      <c r="E249" s="1423"/>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25">
      <c r="A250" s="92"/>
      <c r="B250" s="94"/>
      <c r="C250" s="978">
        <v>13</v>
      </c>
      <c r="D250" s="1422" t="str">
        <f>IF(D234="","",IF(COUNTIF(INDEX(CNTR_IOSupplyChain,MATCH(D234,CNTR_IOProcAndPrec,0),),C250)=0,"",INDEX(CNTR_IOProcAndPrec,MATCH(C250,INDEX(CNTR_IOSupplyChain,MATCH(D234,CNTR_IOProcAndPrec,0),),0))))</f>
        <v/>
      </c>
      <c r="E250" s="1423"/>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25">
      <c r="A251" s="92"/>
      <c r="B251" s="94"/>
      <c r="C251" s="978">
        <v>14</v>
      </c>
      <c r="D251" s="1422" t="str">
        <f>IF(D234="","",IF(COUNTIF(INDEX(CNTR_IOSupplyChain,MATCH(D234,CNTR_IOProcAndPrec,0),),C251)=0,"",INDEX(CNTR_IOProcAndPrec,MATCH(C251,INDEX(CNTR_IOSupplyChain,MATCH(D234,CNTR_IOProcAndPrec,0),),0))))</f>
        <v/>
      </c>
      <c r="E251" s="1423"/>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25">
      <c r="A252" s="92"/>
      <c r="B252" s="94"/>
      <c r="C252" s="978">
        <v>15</v>
      </c>
      <c r="D252" s="1422" t="str">
        <f>IF(D234="","",IF(COUNTIF(INDEX(CNTR_IOSupplyChain,MATCH(D234,CNTR_IOProcAndPrec,0),),C252)=0,"",INDEX(CNTR_IOProcAndPrec,MATCH(C252,INDEX(CNTR_IOSupplyChain,MATCH(D234,CNTR_IOProcAndPrec,0),),0))))</f>
        <v/>
      </c>
      <c r="E252" s="1423"/>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25">
      <c r="A253" s="92"/>
      <c r="B253" s="94"/>
      <c r="C253" s="978">
        <v>16</v>
      </c>
      <c r="D253" s="1422" t="str">
        <f>IF(D234="","",IF(COUNTIF(INDEX(CNTR_IOSupplyChain,MATCH(D234,CNTR_IOProcAndPrec,0),),C253)=0,"",INDEX(CNTR_IOProcAndPrec,MATCH(C253,INDEX(CNTR_IOSupplyChain,MATCH(D234,CNTR_IOProcAndPrec,0),),0))))</f>
        <v/>
      </c>
      <c r="E253" s="1423"/>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25">
      <c r="A254" s="92"/>
      <c r="B254" s="94"/>
      <c r="C254" s="978">
        <v>17</v>
      </c>
      <c r="D254" s="1422" t="str">
        <f>IF(D234="","",IF(COUNTIF(INDEX(CNTR_IOSupplyChain,MATCH(D234,CNTR_IOProcAndPrec,0),),C254)=0,"",INDEX(CNTR_IOProcAndPrec,MATCH(C254,INDEX(CNTR_IOSupplyChain,MATCH(D234,CNTR_IOProcAndPrec,0),),0))))</f>
        <v/>
      </c>
      <c r="E254" s="1423"/>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25">
      <c r="A255" s="92"/>
      <c r="B255" s="94"/>
      <c r="C255" s="978">
        <v>18</v>
      </c>
      <c r="D255" s="1422" t="str">
        <f>IF(D234="","",IF(COUNTIF(INDEX(CNTR_IOSupplyChain,MATCH(D234,CNTR_IOProcAndPrec,0),),C255)=0,"",INDEX(CNTR_IOProcAndPrec,MATCH(C255,INDEX(CNTR_IOSupplyChain,MATCH(D234,CNTR_IOProcAndPrec,0),),0))))</f>
        <v/>
      </c>
      <c r="E255" s="1423"/>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25">
      <c r="A256" s="92"/>
      <c r="B256" s="94"/>
      <c r="C256" s="978">
        <v>19</v>
      </c>
      <c r="D256" s="1422" t="str">
        <f>IF(D234="","",IF(COUNTIF(INDEX(CNTR_IOSupplyChain,MATCH(D234,CNTR_IOProcAndPrec,0),),C256)=0,"",INDEX(CNTR_IOProcAndPrec,MATCH(C256,INDEX(CNTR_IOSupplyChain,MATCH(D234,CNTR_IOProcAndPrec,0),),0))))</f>
        <v/>
      </c>
      <c r="E256" s="1423"/>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25">
      <c r="A257" s="92"/>
      <c r="B257" s="94"/>
      <c r="C257" s="978">
        <v>20</v>
      </c>
      <c r="D257" s="1422" t="str">
        <f>IF(D234="","",IF(COUNTIF(INDEX(CNTR_IOSupplyChain,MATCH(D234,CNTR_IOProcAndPrec,0),),C257)=0,"",INDEX(CNTR_IOProcAndPrec,MATCH(C257,INDEX(CNTR_IOSupplyChain,MATCH(D234,CNTR_IOProcAndPrec,0),),0))))</f>
        <v/>
      </c>
      <c r="E257" s="1423"/>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25">
      <c r="A258" s="92"/>
      <c r="B258" s="94"/>
      <c r="C258" s="978">
        <v>21</v>
      </c>
      <c r="D258" s="1422" t="str">
        <f>IF(D234="","",IF(COUNTIF(INDEX(CNTR_IOSupplyChain,MATCH(D234,CNTR_IOProcAndPrec,0),),C258)=0,"",INDEX(CNTR_IOProcAndPrec,MATCH(C258,INDEX(CNTR_IOSupplyChain,MATCH(D234,CNTR_IOProcAndPrec,0),),0))))</f>
        <v/>
      </c>
      <c r="E258" s="1423"/>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25">
      <c r="A259" s="92"/>
      <c r="B259" s="94"/>
      <c r="C259" s="978">
        <v>22</v>
      </c>
      <c r="D259" s="1422" t="str">
        <f>IF(D234="","",IF(COUNTIF(INDEX(CNTR_IOSupplyChain,MATCH(D234,CNTR_IOProcAndPrec,0),),C259)=0,"",INDEX(CNTR_IOProcAndPrec,MATCH(C259,INDEX(CNTR_IOSupplyChain,MATCH(D234,CNTR_IOProcAndPrec,0),),0))))</f>
        <v/>
      </c>
      <c r="E259" s="1423"/>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25">
      <c r="A260" s="92"/>
      <c r="B260" s="94"/>
      <c r="C260" s="978">
        <v>23</v>
      </c>
      <c r="D260" s="1422" t="str">
        <f>IF(D234="","",IF(COUNTIF(INDEX(CNTR_IOSupplyChain,MATCH(D234,CNTR_IOProcAndPrec,0),),C260)=0,"",INDEX(CNTR_IOProcAndPrec,MATCH(C260,INDEX(CNTR_IOSupplyChain,MATCH(D234,CNTR_IOProcAndPrec,0),),0))))</f>
        <v/>
      </c>
      <c r="E260" s="1423"/>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25">
      <c r="A261" s="92"/>
      <c r="B261" s="94"/>
      <c r="C261" s="978">
        <v>24</v>
      </c>
      <c r="D261" s="1422" t="str">
        <f>IF(D234="","",IF(COUNTIF(INDEX(CNTR_IOSupplyChain,MATCH(D234,CNTR_IOProcAndPrec,0),),C261)=0,"",INDEX(CNTR_IOProcAndPrec,MATCH(C261,INDEX(CNTR_IOSupplyChain,MATCH(D234,CNTR_IOProcAndPrec,0),),0))))</f>
        <v/>
      </c>
      <c r="E261" s="1423"/>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25">
      <c r="A262" s="92"/>
      <c r="B262" s="94"/>
      <c r="C262" s="978">
        <v>25</v>
      </c>
      <c r="D262" s="1422" t="str">
        <f>IF(D234="","",IF(COUNTIF(INDEX(CNTR_IOSupplyChain,MATCH(D234,CNTR_IOProcAndPrec,0),),C262)=0,"",INDEX(CNTR_IOProcAndPrec,MATCH(C262,INDEX(CNTR_IOSupplyChain,MATCH(D234,CNTR_IOProcAndPrec,0),),0))))</f>
        <v/>
      </c>
      <c r="E262" s="1423"/>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25">
      <c r="A263" s="92"/>
      <c r="B263" s="94"/>
      <c r="C263" s="978">
        <v>26</v>
      </c>
      <c r="D263" s="1422" t="str">
        <f>IF(D234="","",IF(COUNTIF(INDEX(CNTR_IOSupplyChain,MATCH(D234,CNTR_IOProcAndPrec,0),),C263)=0,"",INDEX(CNTR_IOProcAndPrec,MATCH(C263,INDEX(CNTR_IOSupplyChain,MATCH(D234,CNTR_IOProcAndPrec,0),),0))))</f>
        <v/>
      </c>
      <c r="E263" s="1423"/>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25">
      <c r="A264" s="92"/>
      <c r="B264" s="94"/>
      <c r="C264" s="978">
        <v>27</v>
      </c>
      <c r="D264" s="1422" t="str">
        <f>IF(D234="","",IF(COUNTIF(INDEX(CNTR_IOSupplyChain,MATCH(D234,CNTR_IOProcAndPrec,0),),C264)=0,"",INDEX(CNTR_IOProcAndPrec,MATCH(C264,INDEX(CNTR_IOSupplyChain,MATCH(D234,CNTR_IOProcAndPrec,0),),0))))</f>
        <v/>
      </c>
      <c r="E264" s="1423"/>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25">
      <c r="A265" s="92"/>
      <c r="B265" s="94"/>
      <c r="C265" s="978">
        <v>28</v>
      </c>
      <c r="D265" s="1422" t="str">
        <f>IF(D234="","",IF(COUNTIF(INDEX(CNTR_IOSupplyChain,MATCH(D234,CNTR_IOProcAndPrec,0),),C265)=0,"",INDEX(CNTR_IOProcAndPrec,MATCH(C265,INDEX(CNTR_IOSupplyChain,MATCH(D234,CNTR_IOProcAndPrec,0),),0))))</f>
        <v/>
      </c>
      <c r="E265" s="1423"/>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25">
      <c r="A266" s="92"/>
      <c r="B266" s="94"/>
      <c r="C266" s="978">
        <v>29</v>
      </c>
      <c r="D266" s="1422" t="str">
        <f>IF(D234="","",IF(COUNTIF(INDEX(CNTR_IOSupplyChain,MATCH(D234,CNTR_IOProcAndPrec,0),),C266)=0,"",INDEX(CNTR_IOProcAndPrec,MATCH(C266,INDEX(CNTR_IOSupplyChain,MATCH(D234,CNTR_IOProcAndPrec,0),),0))))</f>
        <v/>
      </c>
      <c r="E266" s="1423"/>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
      <c r="A267" s="92"/>
      <c r="B267" s="94"/>
      <c r="C267" s="978">
        <v>30</v>
      </c>
      <c r="D267" s="1424" t="str">
        <f>IF(D234="","",IF(COUNTIF(INDEX(CNTR_IOSupplyChain,MATCH(D234,CNTR_IOProcAndPrec,0),),C267)=0,"",INDEX(CNTR_IOProcAndPrec,MATCH(C267,INDEX(CNTR_IOSupplyChain,MATCH(D234,CNTR_IOProcAndPrec,0),),0))))</f>
        <v/>
      </c>
      <c r="E267" s="1425"/>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25">
      <c r="A270" s="977"/>
      <c r="B270" s="981"/>
      <c r="C270" s="1415">
        <f>C234+1</f>
        <v>4</v>
      </c>
      <c r="D270" s="1418" t="str">
        <f>IF(INDEX(CNTR_List_ExistProdProcNames,C270)=CONST_NA,"",INDEX(CNTR_List_ExistProdProcNames,C270))</f>
        <v/>
      </c>
      <c r="E270" s="1419"/>
      <c r="F270" s="1426" t="str">
        <f>Translations!$B$107</f>
        <v>Aggregated goods category</v>
      </c>
      <c r="G270" s="250" t="str">
        <f>Translations!$B$584</f>
        <v>Mass share</v>
      </c>
      <c r="H270" s="1428"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8" t="str">
        <f>Translations!$B$594</f>
        <v>Source of electricity EF</v>
      </c>
      <c r="P270" s="250" t="str">
        <f>Translations!$B$480</f>
        <v>Embedded electricity</v>
      </c>
      <c r="Q270" s="1430" t="str">
        <f>Translations!$B$1957</f>
        <v>Country code</v>
      </c>
      <c r="R270" s="1411" t="str">
        <f>Translations!$B$351</f>
        <v>CP due (per produced t or MWh)</v>
      </c>
      <c r="S270" s="1413"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
      <c r="A271" s="977"/>
      <c r="B271" s="981"/>
      <c r="C271" s="1416"/>
      <c r="D271" s="1420"/>
      <c r="E271" s="1421"/>
      <c r="F271" s="1427"/>
      <c r="G271" s="251" t="str">
        <f>IF($F272="",CONST_t,INDEX(CONST_LIST_GoodsUnit,MATCH($F272,CONST_LIST_Goods,0))) &amp;"/"&amp; IF($F272="",CONST_t,INDEX(CONST_LIST_GoodsUnit,MATCH($F272,CONST_LIST_Goods,0)))</f>
        <v>t/t</v>
      </c>
      <c r="H271" s="1429"/>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9"/>
      <c r="P271" s="251" t="str">
        <f>CONST_MWh &amp; "/" &amp; IF($F272="",CONST_t,INDEX(CONST_LIST_GoodsUnit,MATCH($F272,CONST_LIST_Goods,0)))</f>
        <v>MWh/t</v>
      </c>
      <c r="Q271" s="1431"/>
      <c r="R271" s="1412"/>
      <c r="S271" s="1414"/>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
      <c r="A272" s="92"/>
      <c r="B272" s="94"/>
      <c r="C272" s="1417"/>
      <c r="D272" s="1432" t="str">
        <f>Translations!$B$600</f>
        <v>Total production process</v>
      </c>
      <c r="E272" s="1433"/>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
      <c r="A273" s="92"/>
      <c r="B273" s="94"/>
      <c r="C273" s="144"/>
      <c r="D273" s="1434" t="str">
        <f>D270</f>
        <v/>
      </c>
      <c r="E273" s="1435"/>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25">
      <c r="A274" s="92"/>
      <c r="B274" s="94"/>
      <c r="C274" s="978">
        <v>1</v>
      </c>
      <c r="D274" s="1436" t="str">
        <f>IF(D270="","",IF(COUNTIF(INDEX(CNTR_IOSupplyChain,MATCH(D270,CNTR_IOProcAndPrec,0),),C274)=0,"",INDEX(CNTR_IOProcAndPrec,MATCH(C274,INDEX(CNTR_IOSupplyChain,MATCH(D270,CNTR_IOProcAndPrec,0),),0))))</f>
        <v/>
      </c>
      <c r="E274" s="1437"/>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25">
      <c r="A275" s="92"/>
      <c r="B275" s="94"/>
      <c r="C275" s="978">
        <v>2</v>
      </c>
      <c r="D275" s="1422" t="str">
        <f>IF(D270="","",IF(COUNTIF(INDEX(CNTR_IOSupplyChain,MATCH(D270,CNTR_IOProcAndPrec,0),),C275)=0,"",INDEX(CNTR_IOProcAndPrec,MATCH(C275,INDEX(CNTR_IOSupplyChain,MATCH(D270,CNTR_IOProcAndPrec,0),),0))))</f>
        <v/>
      </c>
      <c r="E275" s="1423"/>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25">
      <c r="A276" s="92"/>
      <c r="B276" s="94"/>
      <c r="C276" s="978">
        <v>3</v>
      </c>
      <c r="D276" s="1422" t="str">
        <f>IF(D270="","",IF(COUNTIF(INDEX(CNTR_IOSupplyChain,MATCH(D270,CNTR_IOProcAndPrec,0),),C276)=0,"",INDEX(CNTR_IOProcAndPrec,MATCH(C276,INDEX(CNTR_IOSupplyChain,MATCH(D270,CNTR_IOProcAndPrec,0),),0))))</f>
        <v/>
      </c>
      <c r="E276" s="1423"/>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25">
      <c r="A277" s="92"/>
      <c r="B277" s="94"/>
      <c r="C277" s="978">
        <v>4</v>
      </c>
      <c r="D277" s="1422" t="str">
        <f>IF(D270="","",IF(COUNTIF(INDEX(CNTR_IOSupplyChain,MATCH(D270,CNTR_IOProcAndPrec,0),),C277)=0,"",INDEX(CNTR_IOProcAndPrec,MATCH(C277,INDEX(CNTR_IOSupplyChain,MATCH(D270,CNTR_IOProcAndPrec,0),),0))))</f>
        <v/>
      </c>
      <c r="E277" s="1423"/>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25">
      <c r="A278" s="92"/>
      <c r="B278" s="94"/>
      <c r="C278" s="978">
        <v>5</v>
      </c>
      <c r="D278" s="1422" t="str">
        <f>IF(D270="","",IF(COUNTIF(INDEX(CNTR_IOSupplyChain,MATCH(D270,CNTR_IOProcAndPrec,0),),C278)=0,"",INDEX(CNTR_IOProcAndPrec,MATCH(C278,INDEX(CNTR_IOSupplyChain,MATCH(D270,CNTR_IOProcAndPrec,0),),0))))</f>
        <v/>
      </c>
      <c r="E278" s="1423"/>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25">
      <c r="A279" s="92"/>
      <c r="B279" s="94"/>
      <c r="C279" s="978">
        <v>6</v>
      </c>
      <c r="D279" s="1422" t="str">
        <f>IF(D270="","",IF(COUNTIF(INDEX(CNTR_IOSupplyChain,MATCH(D270,CNTR_IOProcAndPrec,0),),C279)=0,"",INDEX(CNTR_IOProcAndPrec,MATCH(C279,INDEX(CNTR_IOSupplyChain,MATCH(D270,CNTR_IOProcAndPrec,0),),0))))</f>
        <v/>
      </c>
      <c r="E279" s="1423"/>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25">
      <c r="A280" s="92"/>
      <c r="B280" s="94"/>
      <c r="C280" s="978">
        <v>7</v>
      </c>
      <c r="D280" s="1422" t="str">
        <f>IF(D270="","",IF(COUNTIF(INDEX(CNTR_IOSupplyChain,MATCH(D270,CNTR_IOProcAndPrec,0),),C280)=0,"",INDEX(CNTR_IOProcAndPrec,MATCH(C280,INDEX(CNTR_IOSupplyChain,MATCH(D270,CNTR_IOProcAndPrec,0),),0))))</f>
        <v/>
      </c>
      <c r="E280" s="1423"/>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25">
      <c r="A281" s="92"/>
      <c r="B281" s="94"/>
      <c r="C281" s="978">
        <v>8</v>
      </c>
      <c r="D281" s="1422" t="str">
        <f>IF(D270="","",IF(COUNTIF(INDEX(CNTR_IOSupplyChain,MATCH(D270,CNTR_IOProcAndPrec,0),),C281)=0,"",INDEX(CNTR_IOProcAndPrec,MATCH(C281,INDEX(CNTR_IOSupplyChain,MATCH(D270,CNTR_IOProcAndPrec,0),),0))))</f>
        <v/>
      </c>
      <c r="E281" s="1423"/>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25">
      <c r="A282" s="92"/>
      <c r="B282" s="94"/>
      <c r="C282" s="978">
        <v>9</v>
      </c>
      <c r="D282" s="1422" t="str">
        <f>IF(D270="","",IF(COUNTIF(INDEX(CNTR_IOSupplyChain,MATCH(D270,CNTR_IOProcAndPrec,0),),C282)=0,"",INDEX(CNTR_IOProcAndPrec,MATCH(C282,INDEX(CNTR_IOSupplyChain,MATCH(D270,CNTR_IOProcAndPrec,0),),0))))</f>
        <v/>
      </c>
      <c r="E282" s="1423"/>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25">
      <c r="A283" s="92"/>
      <c r="B283" s="94"/>
      <c r="C283" s="978">
        <v>10</v>
      </c>
      <c r="D283" s="1422" t="str">
        <f>IF(D270="","",IF(COUNTIF(INDEX(CNTR_IOSupplyChain,MATCH(D270,CNTR_IOProcAndPrec,0),),C283)=0,"",INDEX(CNTR_IOProcAndPrec,MATCH(C283,INDEX(CNTR_IOSupplyChain,MATCH(D270,CNTR_IOProcAndPrec,0),),0))))</f>
        <v/>
      </c>
      <c r="E283" s="1423"/>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25">
      <c r="A284" s="92"/>
      <c r="B284" s="94"/>
      <c r="C284" s="978">
        <v>11</v>
      </c>
      <c r="D284" s="1422" t="str">
        <f>IF(D270="","",IF(COUNTIF(INDEX(CNTR_IOSupplyChain,MATCH(D270,CNTR_IOProcAndPrec,0),),C284)=0,"",INDEX(CNTR_IOProcAndPrec,MATCH(C284,INDEX(CNTR_IOSupplyChain,MATCH(D270,CNTR_IOProcAndPrec,0),),0))))</f>
        <v/>
      </c>
      <c r="E284" s="1423"/>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25">
      <c r="A285" s="92"/>
      <c r="B285" s="94"/>
      <c r="C285" s="978">
        <v>12</v>
      </c>
      <c r="D285" s="1422" t="str">
        <f>IF(D270="","",IF(COUNTIF(INDEX(CNTR_IOSupplyChain,MATCH(D270,CNTR_IOProcAndPrec,0),),C285)=0,"",INDEX(CNTR_IOProcAndPrec,MATCH(C285,INDEX(CNTR_IOSupplyChain,MATCH(D270,CNTR_IOProcAndPrec,0),),0))))</f>
        <v/>
      </c>
      <c r="E285" s="1423"/>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25">
      <c r="A286" s="92"/>
      <c r="B286" s="94"/>
      <c r="C286" s="978">
        <v>13</v>
      </c>
      <c r="D286" s="1422" t="str">
        <f>IF(D270="","",IF(COUNTIF(INDEX(CNTR_IOSupplyChain,MATCH(D270,CNTR_IOProcAndPrec,0),),C286)=0,"",INDEX(CNTR_IOProcAndPrec,MATCH(C286,INDEX(CNTR_IOSupplyChain,MATCH(D270,CNTR_IOProcAndPrec,0),),0))))</f>
        <v/>
      </c>
      <c r="E286" s="1423"/>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25">
      <c r="A287" s="92"/>
      <c r="B287" s="94"/>
      <c r="C287" s="978">
        <v>14</v>
      </c>
      <c r="D287" s="1422" t="str">
        <f>IF(D270="","",IF(COUNTIF(INDEX(CNTR_IOSupplyChain,MATCH(D270,CNTR_IOProcAndPrec,0),),C287)=0,"",INDEX(CNTR_IOProcAndPrec,MATCH(C287,INDEX(CNTR_IOSupplyChain,MATCH(D270,CNTR_IOProcAndPrec,0),),0))))</f>
        <v/>
      </c>
      <c r="E287" s="1423"/>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25">
      <c r="A288" s="92"/>
      <c r="B288" s="94"/>
      <c r="C288" s="978">
        <v>15</v>
      </c>
      <c r="D288" s="1422" t="str">
        <f>IF(D270="","",IF(COUNTIF(INDEX(CNTR_IOSupplyChain,MATCH(D270,CNTR_IOProcAndPrec,0),),C288)=0,"",INDEX(CNTR_IOProcAndPrec,MATCH(C288,INDEX(CNTR_IOSupplyChain,MATCH(D270,CNTR_IOProcAndPrec,0),),0))))</f>
        <v/>
      </c>
      <c r="E288" s="1423"/>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25">
      <c r="A289" s="92"/>
      <c r="B289" s="94"/>
      <c r="C289" s="978">
        <v>16</v>
      </c>
      <c r="D289" s="1422" t="str">
        <f>IF(D270="","",IF(COUNTIF(INDEX(CNTR_IOSupplyChain,MATCH(D270,CNTR_IOProcAndPrec,0),),C289)=0,"",INDEX(CNTR_IOProcAndPrec,MATCH(C289,INDEX(CNTR_IOSupplyChain,MATCH(D270,CNTR_IOProcAndPrec,0),),0))))</f>
        <v/>
      </c>
      <c r="E289" s="1423"/>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25">
      <c r="A290" s="92"/>
      <c r="B290" s="94"/>
      <c r="C290" s="978">
        <v>17</v>
      </c>
      <c r="D290" s="1422" t="str">
        <f>IF(D270="","",IF(COUNTIF(INDEX(CNTR_IOSupplyChain,MATCH(D270,CNTR_IOProcAndPrec,0),),C290)=0,"",INDEX(CNTR_IOProcAndPrec,MATCH(C290,INDEX(CNTR_IOSupplyChain,MATCH(D270,CNTR_IOProcAndPrec,0),),0))))</f>
        <v/>
      </c>
      <c r="E290" s="1423"/>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25">
      <c r="A291" s="92"/>
      <c r="B291" s="94"/>
      <c r="C291" s="978">
        <v>18</v>
      </c>
      <c r="D291" s="1422" t="str">
        <f>IF(D270="","",IF(COUNTIF(INDEX(CNTR_IOSupplyChain,MATCH(D270,CNTR_IOProcAndPrec,0),),C291)=0,"",INDEX(CNTR_IOProcAndPrec,MATCH(C291,INDEX(CNTR_IOSupplyChain,MATCH(D270,CNTR_IOProcAndPrec,0),),0))))</f>
        <v/>
      </c>
      <c r="E291" s="1423"/>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25">
      <c r="A292" s="92"/>
      <c r="B292" s="94"/>
      <c r="C292" s="978">
        <v>19</v>
      </c>
      <c r="D292" s="1422" t="str">
        <f>IF(D270="","",IF(COUNTIF(INDEX(CNTR_IOSupplyChain,MATCH(D270,CNTR_IOProcAndPrec,0),),C292)=0,"",INDEX(CNTR_IOProcAndPrec,MATCH(C292,INDEX(CNTR_IOSupplyChain,MATCH(D270,CNTR_IOProcAndPrec,0),),0))))</f>
        <v/>
      </c>
      <c r="E292" s="1423"/>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25">
      <c r="A293" s="92"/>
      <c r="B293" s="94"/>
      <c r="C293" s="978">
        <v>20</v>
      </c>
      <c r="D293" s="1422" t="str">
        <f>IF(D270="","",IF(COUNTIF(INDEX(CNTR_IOSupplyChain,MATCH(D270,CNTR_IOProcAndPrec,0),),C293)=0,"",INDEX(CNTR_IOProcAndPrec,MATCH(C293,INDEX(CNTR_IOSupplyChain,MATCH(D270,CNTR_IOProcAndPrec,0),),0))))</f>
        <v/>
      </c>
      <c r="E293" s="1423"/>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25">
      <c r="A294" s="92"/>
      <c r="B294" s="94"/>
      <c r="C294" s="978">
        <v>21</v>
      </c>
      <c r="D294" s="1422" t="str">
        <f>IF(D270="","",IF(COUNTIF(INDEX(CNTR_IOSupplyChain,MATCH(D270,CNTR_IOProcAndPrec,0),),C294)=0,"",INDEX(CNTR_IOProcAndPrec,MATCH(C294,INDEX(CNTR_IOSupplyChain,MATCH(D270,CNTR_IOProcAndPrec,0),),0))))</f>
        <v/>
      </c>
      <c r="E294" s="1423"/>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25">
      <c r="A295" s="92"/>
      <c r="B295" s="94"/>
      <c r="C295" s="978">
        <v>22</v>
      </c>
      <c r="D295" s="1422" t="str">
        <f>IF(D270="","",IF(COUNTIF(INDEX(CNTR_IOSupplyChain,MATCH(D270,CNTR_IOProcAndPrec,0),),C295)=0,"",INDEX(CNTR_IOProcAndPrec,MATCH(C295,INDEX(CNTR_IOSupplyChain,MATCH(D270,CNTR_IOProcAndPrec,0),),0))))</f>
        <v/>
      </c>
      <c r="E295" s="1423"/>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25">
      <c r="A296" s="92"/>
      <c r="B296" s="94"/>
      <c r="C296" s="978">
        <v>23</v>
      </c>
      <c r="D296" s="1422" t="str">
        <f>IF(D270="","",IF(COUNTIF(INDEX(CNTR_IOSupplyChain,MATCH(D270,CNTR_IOProcAndPrec,0),),C296)=0,"",INDEX(CNTR_IOProcAndPrec,MATCH(C296,INDEX(CNTR_IOSupplyChain,MATCH(D270,CNTR_IOProcAndPrec,0),),0))))</f>
        <v/>
      </c>
      <c r="E296" s="1423"/>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25">
      <c r="A297" s="92"/>
      <c r="B297" s="94"/>
      <c r="C297" s="978">
        <v>24</v>
      </c>
      <c r="D297" s="1422" t="str">
        <f>IF(D270="","",IF(COUNTIF(INDEX(CNTR_IOSupplyChain,MATCH(D270,CNTR_IOProcAndPrec,0),),C297)=0,"",INDEX(CNTR_IOProcAndPrec,MATCH(C297,INDEX(CNTR_IOSupplyChain,MATCH(D270,CNTR_IOProcAndPrec,0),),0))))</f>
        <v/>
      </c>
      <c r="E297" s="1423"/>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25">
      <c r="A298" s="92"/>
      <c r="B298" s="94"/>
      <c r="C298" s="978">
        <v>25</v>
      </c>
      <c r="D298" s="1422" t="str">
        <f>IF(D270="","",IF(COUNTIF(INDEX(CNTR_IOSupplyChain,MATCH(D270,CNTR_IOProcAndPrec,0),),C298)=0,"",INDEX(CNTR_IOProcAndPrec,MATCH(C298,INDEX(CNTR_IOSupplyChain,MATCH(D270,CNTR_IOProcAndPrec,0),),0))))</f>
        <v/>
      </c>
      <c r="E298" s="1423"/>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25">
      <c r="A299" s="92"/>
      <c r="B299" s="94"/>
      <c r="C299" s="978">
        <v>26</v>
      </c>
      <c r="D299" s="1422" t="str">
        <f>IF(D270="","",IF(COUNTIF(INDEX(CNTR_IOSupplyChain,MATCH(D270,CNTR_IOProcAndPrec,0),),C299)=0,"",INDEX(CNTR_IOProcAndPrec,MATCH(C299,INDEX(CNTR_IOSupplyChain,MATCH(D270,CNTR_IOProcAndPrec,0),),0))))</f>
        <v/>
      </c>
      <c r="E299" s="1423"/>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25">
      <c r="A300" s="92"/>
      <c r="B300" s="94"/>
      <c r="C300" s="978">
        <v>27</v>
      </c>
      <c r="D300" s="1422" t="str">
        <f>IF(D270="","",IF(COUNTIF(INDEX(CNTR_IOSupplyChain,MATCH(D270,CNTR_IOProcAndPrec,0),),C300)=0,"",INDEX(CNTR_IOProcAndPrec,MATCH(C300,INDEX(CNTR_IOSupplyChain,MATCH(D270,CNTR_IOProcAndPrec,0),),0))))</f>
        <v/>
      </c>
      <c r="E300" s="1423"/>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25">
      <c r="A301" s="92"/>
      <c r="B301" s="94"/>
      <c r="C301" s="978">
        <v>28</v>
      </c>
      <c r="D301" s="1422" t="str">
        <f>IF(D270="","",IF(COUNTIF(INDEX(CNTR_IOSupplyChain,MATCH(D270,CNTR_IOProcAndPrec,0),),C301)=0,"",INDEX(CNTR_IOProcAndPrec,MATCH(C301,INDEX(CNTR_IOSupplyChain,MATCH(D270,CNTR_IOProcAndPrec,0),),0))))</f>
        <v/>
      </c>
      <c r="E301" s="1423"/>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25">
      <c r="A302" s="92"/>
      <c r="B302" s="94"/>
      <c r="C302" s="978">
        <v>29</v>
      </c>
      <c r="D302" s="1422" t="str">
        <f>IF(D270="","",IF(COUNTIF(INDEX(CNTR_IOSupplyChain,MATCH(D270,CNTR_IOProcAndPrec,0),),C302)=0,"",INDEX(CNTR_IOProcAndPrec,MATCH(C302,INDEX(CNTR_IOSupplyChain,MATCH(D270,CNTR_IOProcAndPrec,0),),0))))</f>
        <v/>
      </c>
      <c r="E302" s="1423"/>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
      <c r="A303" s="92"/>
      <c r="B303" s="94"/>
      <c r="C303" s="978">
        <v>30</v>
      </c>
      <c r="D303" s="1424" t="str">
        <f>IF(D270="","",IF(COUNTIF(INDEX(CNTR_IOSupplyChain,MATCH(D270,CNTR_IOProcAndPrec,0),),C303)=0,"",INDEX(CNTR_IOProcAndPrec,MATCH(C303,INDEX(CNTR_IOSupplyChain,MATCH(D270,CNTR_IOProcAndPrec,0),),0))))</f>
        <v/>
      </c>
      <c r="E303" s="1425"/>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25">
      <c r="A306" s="977"/>
      <c r="B306" s="981"/>
      <c r="C306" s="1415">
        <f>C270+1</f>
        <v>5</v>
      </c>
      <c r="D306" s="1418" t="str">
        <f>IF(INDEX(CNTR_List_ExistProdProcNames,C306)=CONST_NA,"",INDEX(CNTR_List_ExistProdProcNames,C306))</f>
        <v/>
      </c>
      <c r="E306" s="1419"/>
      <c r="F306" s="1426" t="str">
        <f>Translations!$B$107</f>
        <v>Aggregated goods category</v>
      </c>
      <c r="G306" s="250" t="str">
        <f>Translations!$B$584</f>
        <v>Mass share</v>
      </c>
      <c r="H306" s="1428"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8" t="str">
        <f>Translations!$B$594</f>
        <v>Source of electricity EF</v>
      </c>
      <c r="P306" s="250" t="str">
        <f>Translations!$B$480</f>
        <v>Embedded electricity</v>
      </c>
      <c r="Q306" s="1430" t="str">
        <f>Translations!$B$1957</f>
        <v>Country code</v>
      </c>
      <c r="R306" s="1411" t="str">
        <f>Translations!$B$351</f>
        <v>CP due (per produced t or MWh)</v>
      </c>
      <c r="S306" s="1413"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
      <c r="A307" s="977"/>
      <c r="B307" s="981"/>
      <c r="C307" s="1416"/>
      <c r="D307" s="1420"/>
      <c r="E307" s="1421"/>
      <c r="F307" s="1427"/>
      <c r="G307" s="251" t="str">
        <f>IF($F308="",CONST_t,INDEX(CONST_LIST_GoodsUnit,MATCH($F308,CONST_LIST_Goods,0))) &amp;"/"&amp; IF($F308="",CONST_t,INDEX(CONST_LIST_GoodsUnit,MATCH($F308,CONST_LIST_Goods,0)))</f>
        <v>t/t</v>
      </c>
      <c r="H307" s="1429"/>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9"/>
      <c r="P307" s="251" t="str">
        <f>CONST_MWh &amp; "/" &amp; IF($F308="",CONST_t,INDEX(CONST_LIST_GoodsUnit,MATCH($F308,CONST_LIST_Goods,0)))</f>
        <v>MWh/t</v>
      </c>
      <c r="Q307" s="1431"/>
      <c r="R307" s="1412"/>
      <c r="S307" s="1414"/>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
      <c r="A308" s="92"/>
      <c r="B308" s="94"/>
      <c r="C308" s="1417"/>
      <c r="D308" s="1432" t="str">
        <f>Translations!$B$600</f>
        <v>Total production process</v>
      </c>
      <c r="E308" s="1433"/>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
      <c r="A309" s="92"/>
      <c r="B309" s="94"/>
      <c r="C309" s="144"/>
      <c r="D309" s="1434" t="str">
        <f>D306</f>
        <v/>
      </c>
      <c r="E309" s="1435"/>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25">
      <c r="A310" s="92"/>
      <c r="B310" s="94"/>
      <c r="C310" s="978">
        <v>1</v>
      </c>
      <c r="D310" s="1436" t="str">
        <f>IF(D306="","",IF(COUNTIF(INDEX(CNTR_IOSupplyChain,MATCH(D306,CNTR_IOProcAndPrec,0),),C310)=0,"",INDEX(CNTR_IOProcAndPrec,MATCH(C310,INDEX(CNTR_IOSupplyChain,MATCH(D306,CNTR_IOProcAndPrec,0),),0))))</f>
        <v/>
      </c>
      <c r="E310" s="1437"/>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25">
      <c r="A311" s="92"/>
      <c r="B311" s="94"/>
      <c r="C311" s="978">
        <v>2</v>
      </c>
      <c r="D311" s="1422" t="str">
        <f>IF(D306="","",IF(COUNTIF(INDEX(CNTR_IOSupplyChain,MATCH(D306,CNTR_IOProcAndPrec,0),),C311)=0,"",INDEX(CNTR_IOProcAndPrec,MATCH(C311,INDEX(CNTR_IOSupplyChain,MATCH(D306,CNTR_IOProcAndPrec,0),),0))))</f>
        <v/>
      </c>
      <c r="E311" s="1423"/>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25">
      <c r="A312" s="92"/>
      <c r="B312" s="94"/>
      <c r="C312" s="978">
        <v>3</v>
      </c>
      <c r="D312" s="1422" t="str">
        <f>IF(D306="","",IF(COUNTIF(INDEX(CNTR_IOSupplyChain,MATCH(D306,CNTR_IOProcAndPrec,0),),C312)=0,"",INDEX(CNTR_IOProcAndPrec,MATCH(C312,INDEX(CNTR_IOSupplyChain,MATCH(D306,CNTR_IOProcAndPrec,0),),0))))</f>
        <v/>
      </c>
      <c r="E312" s="1423"/>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25">
      <c r="A313" s="92"/>
      <c r="B313" s="94"/>
      <c r="C313" s="978">
        <v>4</v>
      </c>
      <c r="D313" s="1422" t="str">
        <f>IF(D306="","",IF(COUNTIF(INDEX(CNTR_IOSupplyChain,MATCH(D306,CNTR_IOProcAndPrec,0),),C313)=0,"",INDEX(CNTR_IOProcAndPrec,MATCH(C313,INDEX(CNTR_IOSupplyChain,MATCH(D306,CNTR_IOProcAndPrec,0),),0))))</f>
        <v/>
      </c>
      <c r="E313" s="1423"/>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25">
      <c r="A314" s="92"/>
      <c r="B314" s="94"/>
      <c r="C314" s="978">
        <v>5</v>
      </c>
      <c r="D314" s="1422" t="str">
        <f>IF(D306="","",IF(COUNTIF(INDEX(CNTR_IOSupplyChain,MATCH(D306,CNTR_IOProcAndPrec,0),),C314)=0,"",INDEX(CNTR_IOProcAndPrec,MATCH(C314,INDEX(CNTR_IOSupplyChain,MATCH(D306,CNTR_IOProcAndPrec,0),),0))))</f>
        <v/>
      </c>
      <c r="E314" s="1423"/>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25">
      <c r="A315" s="92"/>
      <c r="B315" s="94"/>
      <c r="C315" s="978">
        <v>6</v>
      </c>
      <c r="D315" s="1422" t="str">
        <f>IF(D306="","",IF(COUNTIF(INDEX(CNTR_IOSupplyChain,MATCH(D306,CNTR_IOProcAndPrec,0),),C315)=0,"",INDEX(CNTR_IOProcAndPrec,MATCH(C315,INDEX(CNTR_IOSupplyChain,MATCH(D306,CNTR_IOProcAndPrec,0),),0))))</f>
        <v/>
      </c>
      <c r="E315" s="1423"/>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25">
      <c r="A316" s="92"/>
      <c r="B316" s="94"/>
      <c r="C316" s="978">
        <v>7</v>
      </c>
      <c r="D316" s="1422" t="str">
        <f>IF(D306="","",IF(COUNTIF(INDEX(CNTR_IOSupplyChain,MATCH(D306,CNTR_IOProcAndPrec,0),),C316)=0,"",INDEX(CNTR_IOProcAndPrec,MATCH(C316,INDEX(CNTR_IOSupplyChain,MATCH(D306,CNTR_IOProcAndPrec,0),),0))))</f>
        <v/>
      </c>
      <c r="E316" s="1423"/>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25">
      <c r="A317" s="92"/>
      <c r="B317" s="94"/>
      <c r="C317" s="978">
        <v>8</v>
      </c>
      <c r="D317" s="1422" t="str">
        <f>IF(D306="","",IF(COUNTIF(INDEX(CNTR_IOSupplyChain,MATCH(D306,CNTR_IOProcAndPrec,0),),C317)=0,"",INDEX(CNTR_IOProcAndPrec,MATCH(C317,INDEX(CNTR_IOSupplyChain,MATCH(D306,CNTR_IOProcAndPrec,0),),0))))</f>
        <v/>
      </c>
      <c r="E317" s="1423"/>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25">
      <c r="A318" s="92"/>
      <c r="B318" s="94"/>
      <c r="C318" s="978">
        <v>9</v>
      </c>
      <c r="D318" s="1422" t="str">
        <f>IF(D306="","",IF(COUNTIF(INDEX(CNTR_IOSupplyChain,MATCH(D306,CNTR_IOProcAndPrec,0),),C318)=0,"",INDEX(CNTR_IOProcAndPrec,MATCH(C318,INDEX(CNTR_IOSupplyChain,MATCH(D306,CNTR_IOProcAndPrec,0),),0))))</f>
        <v/>
      </c>
      <c r="E318" s="1423"/>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25">
      <c r="A319" s="92"/>
      <c r="B319" s="94"/>
      <c r="C319" s="978">
        <v>10</v>
      </c>
      <c r="D319" s="1422" t="str">
        <f>IF(D306="","",IF(COUNTIF(INDEX(CNTR_IOSupplyChain,MATCH(D306,CNTR_IOProcAndPrec,0),),C319)=0,"",INDEX(CNTR_IOProcAndPrec,MATCH(C319,INDEX(CNTR_IOSupplyChain,MATCH(D306,CNTR_IOProcAndPrec,0),),0))))</f>
        <v/>
      </c>
      <c r="E319" s="1423"/>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25">
      <c r="A320" s="92"/>
      <c r="B320" s="94"/>
      <c r="C320" s="978">
        <v>11</v>
      </c>
      <c r="D320" s="1422" t="str">
        <f>IF(D306="","",IF(COUNTIF(INDEX(CNTR_IOSupplyChain,MATCH(D306,CNTR_IOProcAndPrec,0),),C320)=0,"",INDEX(CNTR_IOProcAndPrec,MATCH(C320,INDEX(CNTR_IOSupplyChain,MATCH(D306,CNTR_IOProcAndPrec,0),),0))))</f>
        <v/>
      </c>
      <c r="E320" s="1423"/>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25">
      <c r="A321" s="92"/>
      <c r="B321" s="94"/>
      <c r="C321" s="978">
        <v>12</v>
      </c>
      <c r="D321" s="1422" t="str">
        <f>IF(D306="","",IF(COUNTIF(INDEX(CNTR_IOSupplyChain,MATCH(D306,CNTR_IOProcAndPrec,0),),C321)=0,"",INDEX(CNTR_IOProcAndPrec,MATCH(C321,INDEX(CNTR_IOSupplyChain,MATCH(D306,CNTR_IOProcAndPrec,0),),0))))</f>
        <v/>
      </c>
      <c r="E321" s="1423"/>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25">
      <c r="A322" s="92"/>
      <c r="B322" s="94"/>
      <c r="C322" s="978">
        <v>13</v>
      </c>
      <c r="D322" s="1422" t="str">
        <f>IF(D306="","",IF(COUNTIF(INDEX(CNTR_IOSupplyChain,MATCH(D306,CNTR_IOProcAndPrec,0),),C322)=0,"",INDEX(CNTR_IOProcAndPrec,MATCH(C322,INDEX(CNTR_IOSupplyChain,MATCH(D306,CNTR_IOProcAndPrec,0),),0))))</f>
        <v/>
      </c>
      <c r="E322" s="1423"/>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25">
      <c r="A323" s="92"/>
      <c r="B323" s="94"/>
      <c r="C323" s="978">
        <v>14</v>
      </c>
      <c r="D323" s="1422" t="str">
        <f>IF(D306="","",IF(COUNTIF(INDEX(CNTR_IOSupplyChain,MATCH(D306,CNTR_IOProcAndPrec,0),),C323)=0,"",INDEX(CNTR_IOProcAndPrec,MATCH(C323,INDEX(CNTR_IOSupplyChain,MATCH(D306,CNTR_IOProcAndPrec,0),),0))))</f>
        <v/>
      </c>
      <c r="E323" s="1423"/>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25">
      <c r="A324" s="92"/>
      <c r="B324" s="94"/>
      <c r="C324" s="978">
        <v>15</v>
      </c>
      <c r="D324" s="1422" t="str">
        <f>IF(D306="","",IF(COUNTIF(INDEX(CNTR_IOSupplyChain,MATCH(D306,CNTR_IOProcAndPrec,0),),C324)=0,"",INDEX(CNTR_IOProcAndPrec,MATCH(C324,INDEX(CNTR_IOSupplyChain,MATCH(D306,CNTR_IOProcAndPrec,0),),0))))</f>
        <v/>
      </c>
      <c r="E324" s="1423"/>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25">
      <c r="A325" s="92"/>
      <c r="B325" s="94"/>
      <c r="C325" s="978">
        <v>16</v>
      </c>
      <c r="D325" s="1422" t="str">
        <f>IF(D306="","",IF(COUNTIF(INDEX(CNTR_IOSupplyChain,MATCH(D306,CNTR_IOProcAndPrec,0),),C325)=0,"",INDEX(CNTR_IOProcAndPrec,MATCH(C325,INDEX(CNTR_IOSupplyChain,MATCH(D306,CNTR_IOProcAndPrec,0),),0))))</f>
        <v/>
      </c>
      <c r="E325" s="1423"/>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25">
      <c r="A326" s="92"/>
      <c r="B326" s="94"/>
      <c r="C326" s="978">
        <v>17</v>
      </c>
      <c r="D326" s="1422" t="str">
        <f>IF(D306="","",IF(COUNTIF(INDEX(CNTR_IOSupplyChain,MATCH(D306,CNTR_IOProcAndPrec,0),),C326)=0,"",INDEX(CNTR_IOProcAndPrec,MATCH(C326,INDEX(CNTR_IOSupplyChain,MATCH(D306,CNTR_IOProcAndPrec,0),),0))))</f>
        <v/>
      </c>
      <c r="E326" s="1423"/>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25">
      <c r="A327" s="92"/>
      <c r="B327" s="94"/>
      <c r="C327" s="978">
        <v>18</v>
      </c>
      <c r="D327" s="1422" t="str">
        <f>IF(D306="","",IF(COUNTIF(INDEX(CNTR_IOSupplyChain,MATCH(D306,CNTR_IOProcAndPrec,0),),C327)=0,"",INDEX(CNTR_IOProcAndPrec,MATCH(C327,INDEX(CNTR_IOSupplyChain,MATCH(D306,CNTR_IOProcAndPrec,0),),0))))</f>
        <v/>
      </c>
      <c r="E327" s="1423"/>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25">
      <c r="A328" s="92"/>
      <c r="B328" s="94"/>
      <c r="C328" s="978">
        <v>19</v>
      </c>
      <c r="D328" s="1422" t="str">
        <f>IF(D306="","",IF(COUNTIF(INDEX(CNTR_IOSupplyChain,MATCH(D306,CNTR_IOProcAndPrec,0),),C328)=0,"",INDEX(CNTR_IOProcAndPrec,MATCH(C328,INDEX(CNTR_IOSupplyChain,MATCH(D306,CNTR_IOProcAndPrec,0),),0))))</f>
        <v/>
      </c>
      <c r="E328" s="1423"/>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25">
      <c r="A329" s="92"/>
      <c r="B329" s="94"/>
      <c r="C329" s="978">
        <v>20</v>
      </c>
      <c r="D329" s="1422" t="str">
        <f>IF(D306="","",IF(COUNTIF(INDEX(CNTR_IOSupplyChain,MATCH(D306,CNTR_IOProcAndPrec,0),),C329)=0,"",INDEX(CNTR_IOProcAndPrec,MATCH(C329,INDEX(CNTR_IOSupplyChain,MATCH(D306,CNTR_IOProcAndPrec,0),),0))))</f>
        <v/>
      </c>
      <c r="E329" s="1423"/>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25">
      <c r="A330" s="92"/>
      <c r="B330" s="94"/>
      <c r="C330" s="978">
        <v>21</v>
      </c>
      <c r="D330" s="1422" t="str">
        <f>IF(D306="","",IF(COUNTIF(INDEX(CNTR_IOSupplyChain,MATCH(D306,CNTR_IOProcAndPrec,0),),C330)=0,"",INDEX(CNTR_IOProcAndPrec,MATCH(C330,INDEX(CNTR_IOSupplyChain,MATCH(D306,CNTR_IOProcAndPrec,0),),0))))</f>
        <v/>
      </c>
      <c r="E330" s="1423"/>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25">
      <c r="A331" s="92"/>
      <c r="B331" s="94"/>
      <c r="C331" s="978">
        <v>22</v>
      </c>
      <c r="D331" s="1422" t="str">
        <f>IF(D306="","",IF(COUNTIF(INDEX(CNTR_IOSupplyChain,MATCH(D306,CNTR_IOProcAndPrec,0),),C331)=0,"",INDEX(CNTR_IOProcAndPrec,MATCH(C331,INDEX(CNTR_IOSupplyChain,MATCH(D306,CNTR_IOProcAndPrec,0),),0))))</f>
        <v/>
      </c>
      <c r="E331" s="1423"/>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25">
      <c r="A332" s="92"/>
      <c r="B332" s="94"/>
      <c r="C332" s="978">
        <v>23</v>
      </c>
      <c r="D332" s="1422" t="str">
        <f>IF(D306="","",IF(COUNTIF(INDEX(CNTR_IOSupplyChain,MATCH(D306,CNTR_IOProcAndPrec,0),),C332)=0,"",INDEX(CNTR_IOProcAndPrec,MATCH(C332,INDEX(CNTR_IOSupplyChain,MATCH(D306,CNTR_IOProcAndPrec,0),),0))))</f>
        <v/>
      </c>
      <c r="E332" s="1423"/>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25">
      <c r="A333" s="92"/>
      <c r="B333" s="94"/>
      <c r="C333" s="978">
        <v>24</v>
      </c>
      <c r="D333" s="1422" t="str">
        <f>IF(D306="","",IF(COUNTIF(INDEX(CNTR_IOSupplyChain,MATCH(D306,CNTR_IOProcAndPrec,0),),C333)=0,"",INDEX(CNTR_IOProcAndPrec,MATCH(C333,INDEX(CNTR_IOSupplyChain,MATCH(D306,CNTR_IOProcAndPrec,0),),0))))</f>
        <v/>
      </c>
      <c r="E333" s="1423"/>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25">
      <c r="A334" s="92"/>
      <c r="B334" s="94"/>
      <c r="C334" s="978">
        <v>25</v>
      </c>
      <c r="D334" s="1422" t="str">
        <f>IF(D306="","",IF(COUNTIF(INDEX(CNTR_IOSupplyChain,MATCH(D306,CNTR_IOProcAndPrec,0),),C334)=0,"",INDEX(CNTR_IOProcAndPrec,MATCH(C334,INDEX(CNTR_IOSupplyChain,MATCH(D306,CNTR_IOProcAndPrec,0),),0))))</f>
        <v/>
      </c>
      <c r="E334" s="1423"/>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25">
      <c r="A335" s="92"/>
      <c r="B335" s="94"/>
      <c r="C335" s="978">
        <v>26</v>
      </c>
      <c r="D335" s="1422" t="str">
        <f>IF(D306="","",IF(COUNTIF(INDEX(CNTR_IOSupplyChain,MATCH(D306,CNTR_IOProcAndPrec,0),),C335)=0,"",INDEX(CNTR_IOProcAndPrec,MATCH(C335,INDEX(CNTR_IOSupplyChain,MATCH(D306,CNTR_IOProcAndPrec,0),),0))))</f>
        <v/>
      </c>
      <c r="E335" s="1423"/>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25">
      <c r="A336" s="92"/>
      <c r="B336" s="94"/>
      <c r="C336" s="978">
        <v>27</v>
      </c>
      <c r="D336" s="1422" t="str">
        <f>IF(D306="","",IF(COUNTIF(INDEX(CNTR_IOSupplyChain,MATCH(D306,CNTR_IOProcAndPrec,0),),C336)=0,"",INDEX(CNTR_IOProcAndPrec,MATCH(C336,INDEX(CNTR_IOSupplyChain,MATCH(D306,CNTR_IOProcAndPrec,0),),0))))</f>
        <v/>
      </c>
      <c r="E336" s="1423"/>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25">
      <c r="A337" s="92"/>
      <c r="B337" s="94"/>
      <c r="C337" s="978">
        <v>28</v>
      </c>
      <c r="D337" s="1422" t="str">
        <f>IF(D306="","",IF(COUNTIF(INDEX(CNTR_IOSupplyChain,MATCH(D306,CNTR_IOProcAndPrec,0),),C337)=0,"",INDEX(CNTR_IOProcAndPrec,MATCH(C337,INDEX(CNTR_IOSupplyChain,MATCH(D306,CNTR_IOProcAndPrec,0),),0))))</f>
        <v/>
      </c>
      <c r="E337" s="1423"/>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25">
      <c r="A338" s="92"/>
      <c r="B338" s="94"/>
      <c r="C338" s="978">
        <v>29</v>
      </c>
      <c r="D338" s="1422" t="str">
        <f>IF(D306="","",IF(COUNTIF(INDEX(CNTR_IOSupplyChain,MATCH(D306,CNTR_IOProcAndPrec,0),),C338)=0,"",INDEX(CNTR_IOProcAndPrec,MATCH(C338,INDEX(CNTR_IOSupplyChain,MATCH(D306,CNTR_IOProcAndPrec,0),),0))))</f>
        <v/>
      </c>
      <c r="E338" s="1423"/>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
      <c r="A339" s="92"/>
      <c r="B339" s="94"/>
      <c r="C339" s="978">
        <v>30</v>
      </c>
      <c r="D339" s="1424" t="str">
        <f>IF(D306="","",IF(COUNTIF(INDEX(CNTR_IOSupplyChain,MATCH(D306,CNTR_IOProcAndPrec,0),),C339)=0,"",INDEX(CNTR_IOProcAndPrec,MATCH(C339,INDEX(CNTR_IOSupplyChain,MATCH(D306,CNTR_IOProcAndPrec,0),),0))))</f>
        <v/>
      </c>
      <c r="E339" s="1425"/>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25">
      <c r="A342" s="977"/>
      <c r="B342" s="981"/>
      <c r="C342" s="1415">
        <f>C306+1</f>
        <v>6</v>
      </c>
      <c r="D342" s="1418" t="str">
        <f>IF(INDEX(CNTR_List_ExistProdProcNames,C342)=CONST_NA,"",INDEX(CNTR_List_ExistProdProcNames,C342))</f>
        <v/>
      </c>
      <c r="E342" s="1419"/>
      <c r="F342" s="1426" t="str">
        <f>Translations!$B$107</f>
        <v>Aggregated goods category</v>
      </c>
      <c r="G342" s="250" t="str">
        <f>Translations!$B$584</f>
        <v>Mass share</v>
      </c>
      <c r="H342" s="1428"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8" t="str">
        <f>Translations!$B$594</f>
        <v>Source of electricity EF</v>
      </c>
      <c r="P342" s="250" t="str">
        <f>Translations!$B$480</f>
        <v>Embedded electricity</v>
      </c>
      <c r="Q342" s="1430" t="str">
        <f>Translations!$B$1957</f>
        <v>Country code</v>
      </c>
      <c r="R342" s="1411" t="str">
        <f>Translations!$B$351</f>
        <v>CP due (per produced t or MWh)</v>
      </c>
      <c r="S342" s="1413"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
      <c r="A343" s="977"/>
      <c r="B343" s="981"/>
      <c r="C343" s="1416"/>
      <c r="D343" s="1420"/>
      <c r="E343" s="1421"/>
      <c r="F343" s="1427"/>
      <c r="G343" s="251" t="str">
        <f>IF($F344="",CONST_t,INDEX(CONST_LIST_GoodsUnit,MATCH($F344,CONST_LIST_Goods,0))) &amp;"/"&amp; IF($F344="",CONST_t,INDEX(CONST_LIST_GoodsUnit,MATCH($F344,CONST_LIST_Goods,0)))</f>
        <v>t/t</v>
      </c>
      <c r="H343" s="1429"/>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9"/>
      <c r="P343" s="251" t="str">
        <f>CONST_MWh &amp; "/" &amp; IF($F344="",CONST_t,INDEX(CONST_LIST_GoodsUnit,MATCH($F344,CONST_LIST_Goods,0)))</f>
        <v>MWh/t</v>
      </c>
      <c r="Q343" s="1431"/>
      <c r="R343" s="1412"/>
      <c r="S343" s="1414"/>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
      <c r="A344" s="92"/>
      <c r="B344" s="94"/>
      <c r="C344" s="1417"/>
      <c r="D344" s="1432" t="str">
        <f>Translations!$B$600</f>
        <v>Total production process</v>
      </c>
      <c r="E344" s="1433"/>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
      <c r="A345" s="92"/>
      <c r="B345" s="94"/>
      <c r="C345" s="144"/>
      <c r="D345" s="1434" t="str">
        <f>D342</f>
        <v/>
      </c>
      <c r="E345" s="1435"/>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25">
      <c r="A346" s="92"/>
      <c r="B346" s="94"/>
      <c r="C346" s="978">
        <v>1</v>
      </c>
      <c r="D346" s="1436" t="str">
        <f>IF(D342="","",IF(COUNTIF(INDEX(CNTR_IOSupplyChain,MATCH(D342,CNTR_IOProcAndPrec,0),),C346)=0,"",INDEX(CNTR_IOProcAndPrec,MATCH(C346,INDEX(CNTR_IOSupplyChain,MATCH(D342,CNTR_IOProcAndPrec,0),),0))))</f>
        <v/>
      </c>
      <c r="E346" s="1437"/>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25">
      <c r="A347" s="92"/>
      <c r="B347" s="94"/>
      <c r="C347" s="978">
        <v>2</v>
      </c>
      <c r="D347" s="1422" t="str">
        <f>IF(D342="","",IF(COUNTIF(INDEX(CNTR_IOSupplyChain,MATCH(D342,CNTR_IOProcAndPrec,0),),C347)=0,"",INDEX(CNTR_IOProcAndPrec,MATCH(C347,INDEX(CNTR_IOSupplyChain,MATCH(D342,CNTR_IOProcAndPrec,0),),0))))</f>
        <v/>
      </c>
      <c r="E347" s="1423"/>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25">
      <c r="A348" s="92"/>
      <c r="B348" s="94"/>
      <c r="C348" s="978">
        <v>3</v>
      </c>
      <c r="D348" s="1422" t="str">
        <f>IF(D342="","",IF(COUNTIF(INDEX(CNTR_IOSupplyChain,MATCH(D342,CNTR_IOProcAndPrec,0),),C348)=0,"",INDEX(CNTR_IOProcAndPrec,MATCH(C348,INDEX(CNTR_IOSupplyChain,MATCH(D342,CNTR_IOProcAndPrec,0),),0))))</f>
        <v/>
      </c>
      <c r="E348" s="1423"/>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25">
      <c r="A349" s="92"/>
      <c r="B349" s="94"/>
      <c r="C349" s="978">
        <v>4</v>
      </c>
      <c r="D349" s="1422" t="str">
        <f>IF(D342="","",IF(COUNTIF(INDEX(CNTR_IOSupplyChain,MATCH(D342,CNTR_IOProcAndPrec,0),),C349)=0,"",INDEX(CNTR_IOProcAndPrec,MATCH(C349,INDEX(CNTR_IOSupplyChain,MATCH(D342,CNTR_IOProcAndPrec,0),),0))))</f>
        <v/>
      </c>
      <c r="E349" s="1423"/>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25">
      <c r="A350" s="92"/>
      <c r="B350" s="94"/>
      <c r="C350" s="978">
        <v>5</v>
      </c>
      <c r="D350" s="1422" t="str">
        <f>IF(D342="","",IF(COUNTIF(INDEX(CNTR_IOSupplyChain,MATCH(D342,CNTR_IOProcAndPrec,0),),C350)=0,"",INDEX(CNTR_IOProcAndPrec,MATCH(C350,INDEX(CNTR_IOSupplyChain,MATCH(D342,CNTR_IOProcAndPrec,0),),0))))</f>
        <v/>
      </c>
      <c r="E350" s="1423"/>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25">
      <c r="A351" s="92"/>
      <c r="B351" s="94"/>
      <c r="C351" s="978">
        <v>6</v>
      </c>
      <c r="D351" s="1422" t="str">
        <f>IF(D342="","",IF(COUNTIF(INDEX(CNTR_IOSupplyChain,MATCH(D342,CNTR_IOProcAndPrec,0),),C351)=0,"",INDEX(CNTR_IOProcAndPrec,MATCH(C351,INDEX(CNTR_IOSupplyChain,MATCH(D342,CNTR_IOProcAndPrec,0),),0))))</f>
        <v/>
      </c>
      <c r="E351" s="1423"/>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25">
      <c r="A352" s="92"/>
      <c r="B352" s="94"/>
      <c r="C352" s="978">
        <v>7</v>
      </c>
      <c r="D352" s="1422" t="str">
        <f>IF(D342="","",IF(COUNTIF(INDEX(CNTR_IOSupplyChain,MATCH(D342,CNTR_IOProcAndPrec,0),),C352)=0,"",INDEX(CNTR_IOProcAndPrec,MATCH(C352,INDEX(CNTR_IOSupplyChain,MATCH(D342,CNTR_IOProcAndPrec,0),),0))))</f>
        <v/>
      </c>
      <c r="E352" s="1423"/>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25">
      <c r="A353" s="92"/>
      <c r="B353" s="94"/>
      <c r="C353" s="978">
        <v>8</v>
      </c>
      <c r="D353" s="1422" t="str">
        <f>IF(D342="","",IF(COUNTIF(INDEX(CNTR_IOSupplyChain,MATCH(D342,CNTR_IOProcAndPrec,0),),C353)=0,"",INDEX(CNTR_IOProcAndPrec,MATCH(C353,INDEX(CNTR_IOSupplyChain,MATCH(D342,CNTR_IOProcAndPrec,0),),0))))</f>
        <v/>
      </c>
      <c r="E353" s="1423"/>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25">
      <c r="A354" s="92"/>
      <c r="B354" s="94"/>
      <c r="C354" s="978">
        <v>9</v>
      </c>
      <c r="D354" s="1422" t="str">
        <f>IF(D342="","",IF(COUNTIF(INDEX(CNTR_IOSupplyChain,MATCH(D342,CNTR_IOProcAndPrec,0),),C354)=0,"",INDEX(CNTR_IOProcAndPrec,MATCH(C354,INDEX(CNTR_IOSupplyChain,MATCH(D342,CNTR_IOProcAndPrec,0),),0))))</f>
        <v/>
      </c>
      <c r="E354" s="1423"/>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25">
      <c r="A355" s="92"/>
      <c r="B355" s="94"/>
      <c r="C355" s="978">
        <v>10</v>
      </c>
      <c r="D355" s="1422" t="str">
        <f>IF(D342="","",IF(COUNTIF(INDEX(CNTR_IOSupplyChain,MATCH(D342,CNTR_IOProcAndPrec,0),),C355)=0,"",INDEX(CNTR_IOProcAndPrec,MATCH(C355,INDEX(CNTR_IOSupplyChain,MATCH(D342,CNTR_IOProcAndPrec,0),),0))))</f>
        <v/>
      </c>
      <c r="E355" s="1423"/>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25">
      <c r="A356" s="92"/>
      <c r="B356" s="94"/>
      <c r="C356" s="978">
        <v>11</v>
      </c>
      <c r="D356" s="1422" t="str">
        <f>IF(D342="","",IF(COUNTIF(INDEX(CNTR_IOSupplyChain,MATCH(D342,CNTR_IOProcAndPrec,0),),C356)=0,"",INDEX(CNTR_IOProcAndPrec,MATCH(C356,INDEX(CNTR_IOSupplyChain,MATCH(D342,CNTR_IOProcAndPrec,0),),0))))</f>
        <v/>
      </c>
      <c r="E356" s="1423"/>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25">
      <c r="A357" s="92"/>
      <c r="B357" s="94"/>
      <c r="C357" s="978">
        <v>12</v>
      </c>
      <c r="D357" s="1422" t="str">
        <f>IF(D342="","",IF(COUNTIF(INDEX(CNTR_IOSupplyChain,MATCH(D342,CNTR_IOProcAndPrec,0),),C357)=0,"",INDEX(CNTR_IOProcAndPrec,MATCH(C357,INDEX(CNTR_IOSupplyChain,MATCH(D342,CNTR_IOProcAndPrec,0),),0))))</f>
        <v/>
      </c>
      <c r="E357" s="1423"/>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25">
      <c r="A358" s="92"/>
      <c r="B358" s="94"/>
      <c r="C358" s="978">
        <v>13</v>
      </c>
      <c r="D358" s="1422" t="str">
        <f>IF(D342="","",IF(COUNTIF(INDEX(CNTR_IOSupplyChain,MATCH(D342,CNTR_IOProcAndPrec,0),),C358)=0,"",INDEX(CNTR_IOProcAndPrec,MATCH(C358,INDEX(CNTR_IOSupplyChain,MATCH(D342,CNTR_IOProcAndPrec,0),),0))))</f>
        <v/>
      </c>
      <c r="E358" s="1423"/>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25">
      <c r="A359" s="92"/>
      <c r="B359" s="94"/>
      <c r="C359" s="978">
        <v>14</v>
      </c>
      <c r="D359" s="1422" t="str">
        <f>IF(D342="","",IF(COUNTIF(INDEX(CNTR_IOSupplyChain,MATCH(D342,CNTR_IOProcAndPrec,0),),C359)=0,"",INDEX(CNTR_IOProcAndPrec,MATCH(C359,INDEX(CNTR_IOSupplyChain,MATCH(D342,CNTR_IOProcAndPrec,0),),0))))</f>
        <v/>
      </c>
      <c r="E359" s="1423"/>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25">
      <c r="A360" s="92"/>
      <c r="B360" s="94"/>
      <c r="C360" s="978">
        <v>15</v>
      </c>
      <c r="D360" s="1422" t="str">
        <f>IF(D342="","",IF(COUNTIF(INDEX(CNTR_IOSupplyChain,MATCH(D342,CNTR_IOProcAndPrec,0),),C360)=0,"",INDEX(CNTR_IOProcAndPrec,MATCH(C360,INDEX(CNTR_IOSupplyChain,MATCH(D342,CNTR_IOProcAndPrec,0),),0))))</f>
        <v/>
      </c>
      <c r="E360" s="1423"/>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25">
      <c r="A361" s="92"/>
      <c r="B361" s="94"/>
      <c r="C361" s="978">
        <v>16</v>
      </c>
      <c r="D361" s="1422" t="str">
        <f>IF(D342="","",IF(COUNTIF(INDEX(CNTR_IOSupplyChain,MATCH(D342,CNTR_IOProcAndPrec,0),),C361)=0,"",INDEX(CNTR_IOProcAndPrec,MATCH(C361,INDEX(CNTR_IOSupplyChain,MATCH(D342,CNTR_IOProcAndPrec,0),),0))))</f>
        <v/>
      </c>
      <c r="E361" s="1423"/>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25">
      <c r="A362" s="92"/>
      <c r="B362" s="94"/>
      <c r="C362" s="978">
        <v>17</v>
      </c>
      <c r="D362" s="1422" t="str">
        <f>IF(D342="","",IF(COUNTIF(INDEX(CNTR_IOSupplyChain,MATCH(D342,CNTR_IOProcAndPrec,0),),C362)=0,"",INDEX(CNTR_IOProcAndPrec,MATCH(C362,INDEX(CNTR_IOSupplyChain,MATCH(D342,CNTR_IOProcAndPrec,0),),0))))</f>
        <v/>
      </c>
      <c r="E362" s="1423"/>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25">
      <c r="A363" s="92"/>
      <c r="B363" s="94"/>
      <c r="C363" s="978">
        <v>18</v>
      </c>
      <c r="D363" s="1422" t="str">
        <f>IF(D342="","",IF(COUNTIF(INDEX(CNTR_IOSupplyChain,MATCH(D342,CNTR_IOProcAndPrec,0),),C363)=0,"",INDEX(CNTR_IOProcAndPrec,MATCH(C363,INDEX(CNTR_IOSupplyChain,MATCH(D342,CNTR_IOProcAndPrec,0),),0))))</f>
        <v/>
      </c>
      <c r="E363" s="1423"/>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25">
      <c r="A364" s="92"/>
      <c r="B364" s="94"/>
      <c r="C364" s="978">
        <v>19</v>
      </c>
      <c r="D364" s="1422" t="str">
        <f>IF(D342="","",IF(COUNTIF(INDEX(CNTR_IOSupplyChain,MATCH(D342,CNTR_IOProcAndPrec,0),),C364)=0,"",INDEX(CNTR_IOProcAndPrec,MATCH(C364,INDEX(CNTR_IOSupplyChain,MATCH(D342,CNTR_IOProcAndPrec,0),),0))))</f>
        <v/>
      </c>
      <c r="E364" s="1423"/>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25">
      <c r="A365" s="92"/>
      <c r="B365" s="94"/>
      <c r="C365" s="978">
        <v>20</v>
      </c>
      <c r="D365" s="1422" t="str">
        <f>IF(D342="","",IF(COUNTIF(INDEX(CNTR_IOSupplyChain,MATCH(D342,CNTR_IOProcAndPrec,0),),C365)=0,"",INDEX(CNTR_IOProcAndPrec,MATCH(C365,INDEX(CNTR_IOSupplyChain,MATCH(D342,CNTR_IOProcAndPrec,0),),0))))</f>
        <v/>
      </c>
      <c r="E365" s="1423"/>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25">
      <c r="A366" s="92"/>
      <c r="B366" s="94"/>
      <c r="C366" s="978">
        <v>21</v>
      </c>
      <c r="D366" s="1422" t="str">
        <f>IF(D342="","",IF(COUNTIF(INDEX(CNTR_IOSupplyChain,MATCH(D342,CNTR_IOProcAndPrec,0),),C366)=0,"",INDEX(CNTR_IOProcAndPrec,MATCH(C366,INDEX(CNTR_IOSupplyChain,MATCH(D342,CNTR_IOProcAndPrec,0),),0))))</f>
        <v/>
      </c>
      <c r="E366" s="1423"/>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25">
      <c r="A367" s="92"/>
      <c r="B367" s="94"/>
      <c r="C367" s="978">
        <v>22</v>
      </c>
      <c r="D367" s="1422" t="str">
        <f>IF(D342="","",IF(COUNTIF(INDEX(CNTR_IOSupplyChain,MATCH(D342,CNTR_IOProcAndPrec,0),),C367)=0,"",INDEX(CNTR_IOProcAndPrec,MATCH(C367,INDEX(CNTR_IOSupplyChain,MATCH(D342,CNTR_IOProcAndPrec,0),),0))))</f>
        <v/>
      </c>
      <c r="E367" s="1423"/>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25">
      <c r="A368" s="92"/>
      <c r="B368" s="94"/>
      <c r="C368" s="978">
        <v>23</v>
      </c>
      <c r="D368" s="1422" t="str">
        <f>IF(D342="","",IF(COUNTIF(INDEX(CNTR_IOSupplyChain,MATCH(D342,CNTR_IOProcAndPrec,0),),C368)=0,"",INDEX(CNTR_IOProcAndPrec,MATCH(C368,INDEX(CNTR_IOSupplyChain,MATCH(D342,CNTR_IOProcAndPrec,0),),0))))</f>
        <v/>
      </c>
      <c r="E368" s="1423"/>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25">
      <c r="A369" s="92"/>
      <c r="B369" s="94"/>
      <c r="C369" s="978">
        <v>24</v>
      </c>
      <c r="D369" s="1422" t="str">
        <f>IF(D342="","",IF(COUNTIF(INDEX(CNTR_IOSupplyChain,MATCH(D342,CNTR_IOProcAndPrec,0),),C369)=0,"",INDEX(CNTR_IOProcAndPrec,MATCH(C369,INDEX(CNTR_IOSupplyChain,MATCH(D342,CNTR_IOProcAndPrec,0),),0))))</f>
        <v/>
      </c>
      <c r="E369" s="1423"/>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25">
      <c r="A370" s="92"/>
      <c r="B370" s="94"/>
      <c r="C370" s="978">
        <v>25</v>
      </c>
      <c r="D370" s="1422" t="str">
        <f>IF(D342="","",IF(COUNTIF(INDEX(CNTR_IOSupplyChain,MATCH(D342,CNTR_IOProcAndPrec,0),),C370)=0,"",INDEX(CNTR_IOProcAndPrec,MATCH(C370,INDEX(CNTR_IOSupplyChain,MATCH(D342,CNTR_IOProcAndPrec,0),),0))))</f>
        <v/>
      </c>
      <c r="E370" s="1423"/>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25">
      <c r="A371" s="92"/>
      <c r="B371" s="94"/>
      <c r="C371" s="978">
        <v>26</v>
      </c>
      <c r="D371" s="1422" t="str">
        <f>IF(D342="","",IF(COUNTIF(INDEX(CNTR_IOSupplyChain,MATCH(D342,CNTR_IOProcAndPrec,0),),C371)=0,"",INDEX(CNTR_IOProcAndPrec,MATCH(C371,INDEX(CNTR_IOSupplyChain,MATCH(D342,CNTR_IOProcAndPrec,0),),0))))</f>
        <v/>
      </c>
      <c r="E371" s="1423"/>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25">
      <c r="A372" s="92"/>
      <c r="B372" s="94"/>
      <c r="C372" s="978">
        <v>27</v>
      </c>
      <c r="D372" s="1422" t="str">
        <f>IF(D342="","",IF(COUNTIF(INDEX(CNTR_IOSupplyChain,MATCH(D342,CNTR_IOProcAndPrec,0),),C372)=0,"",INDEX(CNTR_IOProcAndPrec,MATCH(C372,INDEX(CNTR_IOSupplyChain,MATCH(D342,CNTR_IOProcAndPrec,0),),0))))</f>
        <v/>
      </c>
      <c r="E372" s="1423"/>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25">
      <c r="A373" s="92"/>
      <c r="B373" s="94"/>
      <c r="C373" s="978">
        <v>28</v>
      </c>
      <c r="D373" s="1422" t="str">
        <f>IF(D342="","",IF(COUNTIF(INDEX(CNTR_IOSupplyChain,MATCH(D342,CNTR_IOProcAndPrec,0),),C373)=0,"",INDEX(CNTR_IOProcAndPrec,MATCH(C373,INDEX(CNTR_IOSupplyChain,MATCH(D342,CNTR_IOProcAndPrec,0),),0))))</f>
        <v/>
      </c>
      <c r="E373" s="1423"/>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25">
      <c r="A374" s="92"/>
      <c r="B374" s="94"/>
      <c r="C374" s="978">
        <v>29</v>
      </c>
      <c r="D374" s="1422" t="str">
        <f>IF(D342="","",IF(COUNTIF(INDEX(CNTR_IOSupplyChain,MATCH(D342,CNTR_IOProcAndPrec,0),),C374)=0,"",INDEX(CNTR_IOProcAndPrec,MATCH(C374,INDEX(CNTR_IOSupplyChain,MATCH(D342,CNTR_IOProcAndPrec,0),),0))))</f>
        <v/>
      </c>
      <c r="E374" s="1423"/>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
      <c r="A375" s="92"/>
      <c r="B375" s="94"/>
      <c r="C375" s="978">
        <v>30</v>
      </c>
      <c r="D375" s="1424" t="str">
        <f>IF(D342="","",IF(COUNTIF(INDEX(CNTR_IOSupplyChain,MATCH(D342,CNTR_IOProcAndPrec,0),),C375)=0,"",INDEX(CNTR_IOProcAndPrec,MATCH(C375,INDEX(CNTR_IOSupplyChain,MATCH(D342,CNTR_IOProcAndPrec,0),),0))))</f>
        <v/>
      </c>
      <c r="E375" s="1425"/>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25">
      <c r="A378" s="977"/>
      <c r="B378" s="981"/>
      <c r="C378" s="1415">
        <f>C342+1</f>
        <v>7</v>
      </c>
      <c r="D378" s="1418" t="str">
        <f>IF(INDEX(CNTR_List_ExistProdProcNames,C378)=CONST_NA,"",INDEX(CNTR_List_ExistProdProcNames,C378))</f>
        <v/>
      </c>
      <c r="E378" s="1419"/>
      <c r="F378" s="1426" t="str">
        <f>Translations!$B$107</f>
        <v>Aggregated goods category</v>
      </c>
      <c r="G378" s="250" t="str">
        <f>Translations!$B$584</f>
        <v>Mass share</v>
      </c>
      <c r="H378" s="1428"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8" t="str">
        <f>Translations!$B$594</f>
        <v>Source of electricity EF</v>
      </c>
      <c r="P378" s="250" t="str">
        <f>Translations!$B$480</f>
        <v>Embedded electricity</v>
      </c>
      <c r="Q378" s="1430" t="str">
        <f>Translations!$B$1957</f>
        <v>Country code</v>
      </c>
      <c r="R378" s="1411" t="str">
        <f>Translations!$B$351</f>
        <v>CP due (per produced t or MWh)</v>
      </c>
      <c r="S378" s="1413"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
      <c r="A379" s="977"/>
      <c r="B379" s="981"/>
      <c r="C379" s="1416"/>
      <c r="D379" s="1420"/>
      <c r="E379" s="1421"/>
      <c r="F379" s="1427"/>
      <c r="G379" s="251" t="str">
        <f>IF($F380="",CONST_t,INDEX(CONST_LIST_GoodsUnit,MATCH($F380,CONST_LIST_Goods,0))) &amp;"/"&amp; IF($F380="",CONST_t,INDEX(CONST_LIST_GoodsUnit,MATCH($F380,CONST_LIST_Goods,0)))</f>
        <v>t/t</v>
      </c>
      <c r="H379" s="1429"/>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9"/>
      <c r="P379" s="251" t="str">
        <f>CONST_MWh &amp; "/" &amp; IF($F380="",CONST_t,INDEX(CONST_LIST_GoodsUnit,MATCH($F380,CONST_LIST_Goods,0)))</f>
        <v>MWh/t</v>
      </c>
      <c r="Q379" s="1431"/>
      <c r="R379" s="1412"/>
      <c r="S379" s="1414"/>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
      <c r="A380" s="92"/>
      <c r="B380" s="94"/>
      <c r="C380" s="1417"/>
      <c r="D380" s="1432" t="str">
        <f>Translations!$B$600</f>
        <v>Total production process</v>
      </c>
      <c r="E380" s="1433"/>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
      <c r="A381" s="92"/>
      <c r="B381" s="94"/>
      <c r="C381" s="144"/>
      <c r="D381" s="1434" t="str">
        <f>D378</f>
        <v/>
      </c>
      <c r="E381" s="1435"/>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25">
      <c r="A382" s="92"/>
      <c r="B382" s="94"/>
      <c r="C382" s="978">
        <v>1</v>
      </c>
      <c r="D382" s="1436" t="str">
        <f>IF(D378="","",IF(COUNTIF(INDEX(CNTR_IOSupplyChain,MATCH(D378,CNTR_IOProcAndPrec,0),),C382)=0,"",INDEX(CNTR_IOProcAndPrec,MATCH(C382,INDEX(CNTR_IOSupplyChain,MATCH(D378,CNTR_IOProcAndPrec,0),),0))))</f>
        <v/>
      </c>
      <c r="E382" s="1437"/>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25">
      <c r="A383" s="92"/>
      <c r="B383" s="94"/>
      <c r="C383" s="978">
        <v>2</v>
      </c>
      <c r="D383" s="1422" t="str">
        <f>IF(D378="","",IF(COUNTIF(INDEX(CNTR_IOSupplyChain,MATCH(D378,CNTR_IOProcAndPrec,0),),C383)=0,"",INDEX(CNTR_IOProcAndPrec,MATCH(C383,INDEX(CNTR_IOSupplyChain,MATCH(D378,CNTR_IOProcAndPrec,0),),0))))</f>
        <v/>
      </c>
      <c r="E383" s="1423"/>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25">
      <c r="A384" s="92"/>
      <c r="B384" s="94"/>
      <c r="C384" s="978">
        <v>3</v>
      </c>
      <c r="D384" s="1422" t="str">
        <f>IF(D378="","",IF(COUNTIF(INDEX(CNTR_IOSupplyChain,MATCH(D378,CNTR_IOProcAndPrec,0),),C384)=0,"",INDEX(CNTR_IOProcAndPrec,MATCH(C384,INDEX(CNTR_IOSupplyChain,MATCH(D378,CNTR_IOProcAndPrec,0),),0))))</f>
        <v/>
      </c>
      <c r="E384" s="1423"/>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25">
      <c r="A385" s="92"/>
      <c r="B385" s="94"/>
      <c r="C385" s="978">
        <v>4</v>
      </c>
      <c r="D385" s="1422" t="str">
        <f>IF(D378="","",IF(COUNTIF(INDEX(CNTR_IOSupplyChain,MATCH(D378,CNTR_IOProcAndPrec,0),),C385)=0,"",INDEX(CNTR_IOProcAndPrec,MATCH(C385,INDEX(CNTR_IOSupplyChain,MATCH(D378,CNTR_IOProcAndPrec,0),),0))))</f>
        <v/>
      </c>
      <c r="E385" s="1423"/>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25">
      <c r="A386" s="92"/>
      <c r="B386" s="94"/>
      <c r="C386" s="978">
        <v>5</v>
      </c>
      <c r="D386" s="1422" t="str">
        <f>IF(D378="","",IF(COUNTIF(INDEX(CNTR_IOSupplyChain,MATCH(D378,CNTR_IOProcAndPrec,0),),C386)=0,"",INDEX(CNTR_IOProcAndPrec,MATCH(C386,INDEX(CNTR_IOSupplyChain,MATCH(D378,CNTR_IOProcAndPrec,0),),0))))</f>
        <v/>
      </c>
      <c r="E386" s="1423"/>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25">
      <c r="A387" s="92"/>
      <c r="B387" s="94"/>
      <c r="C387" s="978">
        <v>6</v>
      </c>
      <c r="D387" s="1422" t="str">
        <f>IF(D378="","",IF(COUNTIF(INDEX(CNTR_IOSupplyChain,MATCH(D378,CNTR_IOProcAndPrec,0),),C387)=0,"",INDEX(CNTR_IOProcAndPrec,MATCH(C387,INDEX(CNTR_IOSupplyChain,MATCH(D378,CNTR_IOProcAndPrec,0),),0))))</f>
        <v/>
      </c>
      <c r="E387" s="1423"/>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25">
      <c r="A388" s="92"/>
      <c r="B388" s="94"/>
      <c r="C388" s="978">
        <v>7</v>
      </c>
      <c r="D388" s="1422" t="str">
        <f>IF(D378="","",IF(COUNTIF(INDEX(CNTR_IOSupplyChain,MATCH(D378,CNTR_IOProcAndPrec,0),),C388)=0,"",INDEX(CNTR_IOProcAndPrec,MATCH(C388,INDEX(CNTR_IOSupplyChain,MATCH(D378,CNTR_IOProcAndPrec,0),),0))))</f>
        <v/>
      </c>
      <c r="E388" s="1423"/>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25">
      <c r="A389" s="92"/>
      <c r="B389" s="94"/>
      <c r="C389" s="978">
        <v>8</v>
      </c>
      <c r="D389" s="1422" t="str">
        <f>IF(D378="","",IF(COUNTIF(INDEX(CNTR_IOSupplyChain,MATCH(D378,CNTR_IOProcAndPrec,0),),C389)=0,"",INDEX(CNTR_IOProcAndPrec,MATCH(C389,INDEX(CNTR_IOSupplyChain,MATCH(D378,CNTR_IOProcAndPrec,0),),0))))</f>
        <v/>
      </c>
      <c r="E389" s="1423"/>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25">
      <c r="A390" s="92"/>
      <c r="B390" s="94"/>
      <c r="C390" s="978">
        <v>9</v>
      </c>
      <c r="D390" s="1422" t="str">
        <f>IF(D378="","",IF(COUNTIF(INDEX(CNTR_IOSupplyChain,MATCH(D378,CNTR_IOProcAndPrec,0),),C390)=0,"",INDEX(CNTR_IOProcAndPrec,MATCH(C390,INDEX(CNTR_IOSupplyChain,MATCH(D378,CNTR_IOProcAndPrec,0),),0))))</f>
        <v/>
      </c>
      <c r="E390" s="1423"/>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25">
      <c r="A391" s="92"/>
      <c r="B391" s="94"/>
      <c r="C391" s="978">
        <v>10</v>
      </c>
      <c r="D391" s="1422" t="str">
        <f>IF(D378="","",IF(COUNTIF(INDEX(CNTR_IOSupplyChain,MATCH(D378,CNTR_IOProcAndPrec,0),),C391)=0,"",INDEX(CNTR_IOProcAndPrec,MATCH(C391,INDEX(CNTR_IOSupplyChain,MATCH(D378,CNTR_IOProcAndPrec,0),),0))))</f>
        <v/>
      </c>
      <c r="E391" s="1423"/>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25">
      <c r="A392" s="92"/>
      <c r="B392" s="94"/>
      <c r="C392" s="978">
        <v>11</v>
      </c>
      <c r="D392" s="1422" t="str">
        <f>IF(D378="","",IF(COUNTIF(INDEX(CNTR_IOSupplyChain,MATCH(D378,CNTR_IOProcAndPrec,0),),C392)=0,"",INDEX(CNTR_IOProcAndPrec,MATCH(C392,INDEX(CNTR_IOSupplyChain,MATCH(D378,CNTR_IOProcAndPrec,0),),0))))</f>
        <v/>
      </c>
      <c r="E392" s="1423"/>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25">
      <c r="A393" s="92"/>
      <c r="B393" s="94"/>
      <c r="C393" s="978">
        <v>12</v>
      </c>
      <c r="D393" s="1422" t="str">
        <f>IF(D378="","",IF(COUNTIF(INDEX(CNTR_IOSupplyChain,MATCH(D378,CNTR_IOProcAndPrec,0),),C393)=0,"",INDEX(CNTR_IOProcAndPrec,MATCH(C393,INDEX(CNTR_IOSupplyChain,MATCH(D378,CNTR_IOProcAndPrec,0),),0))))</f>
        <v/>
      </c>
      <c r="E393" s="1423"/>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25">
      <c r="A394" s="92"/>
      <c r="B394" s="94"/>
      <c r="C394" s="978">
        <v>13</v>
      </c>
      <c r="D394" s="1422" t="str">
        <f>IF(D378="","",IF(COUNTIF(INDEX(CNTR_IOSupplyChain,MATCH(D378,CNTR_IOProcAndPrec,0),),C394)=0,"",INDEX(CNTR_IOProcAndPrec,MATCH(C394,INDEX(CNTR_IOSupplyChain,MATCH(D378,CNTR_IOProcAndPrec,0),),0))))</f>
        <v/>
      </c>
      <c r="E394" s="1423"/>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25">
      <c r="A395" s="92"/>
      <c r="B395" s="94"/>
      <c r="C395" s="978">
        <v>14</v>
      </c>
      <c r="D395" s="1422" t="str">
        <f>IF(D378="","",IF(COUNTIF(INDEX(CNTR_IOSupplyChain,MATCH(D378,CNTR_IOProcAndPrec,0),),C395)=0,"",INDEX(CNTR_IOProcAndPrec,MATCH(C395,INDEX(CNTR_IOSupplyChain,MATCH(D378,CNTR_IOProcAndPrec,0),),0))))</f>
        <v/>
      </c>
      <c r="E395" s="1423"/>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25">
      <c r="A396" s="92"/>
      <c r="B396" s="94"/>
      <c r="C396" s="978">
        <v>15</v>
      </c>
      <c r="D396" s="1422" t="str">
        <f>IF(D378="","",IF(COUNTIF(INDEX(CNTR_IOSupplyChain,MATCH(D378,CNTR_IOProcAndPrec,0),),C396)=0,"",INDEX(CNTR_IOProcAndPrec,MATCH(C396,INDEX(CNTR_IOSupplyChain,MATCH(D378,CNTR_IOProcAndPrec,0),),0))))</f>
        <v/>
      </c>
      <c r="E396" s="1423"/>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25">
      <c r="A397" s="92"/>
      <c r="B397" s="94"/>
      <c r="C397" s="978">
        <v>16</v>
      </c>
      <c r="D397" s="1422" t="str">
        <f>IF(D378="","",IF(COUNTIF(INDEX(CNTR_IOSupplyChain,MATCH(D378,CNTR_IOProcAndPrec,0),),C397)=0,"",INDEX(CNTR_IOProcAndPrec,MATCH(C397,INDEX(CNTR_IOSupplyChain,MATCH(D378,CNTR_IOProcAndPrec,0),),0))))</f>
        <v/>
      </c>
      <c r="E397" s="1423"/>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25">
      <c r="A398" s="92"/>
      <c r="B398" s="94"/>
      <c r="C398" s="978">
        <v>17</v>
      </c>
      <c r="D398" s="1422" t="str">
        <f>IF(D378="","",IF(COUNTIF(INDEX(CNTR_IOSupplyChain,MATCH(D378,CNTR_IOProcAndPrec,0),),C398)=0,"",INDEX(CNTR_IOProcAndPrec,MATCH(C398,INDEX(CNTR_IOSupplyChain,MATCH(D378,CNTR_IOProcAndPrec,0),),0))))</f>
        <v/>
      </c>
      <c r="E398" s="1423"/>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25">
      <c r="A399" s="92"/>
      <c r="B399" s="94"/>
      <c r="C399" s="978">
        <v>18</v>
      </c>
      <c r="D399" s="1422" t="str">
        <f>IF(D378="","",IF(COUNTIF(INDEX(CNTR_IOSupplyChain,MATCH(D378,CNTR_IOProcAndPrec,0),),C399)=0,"",INDEX(CNTR_IOProcAndPrec,MATCH(C399,INDEX(CNTR_IOSupplyChain,MATCH(D378,CNTR_IOProcAndPrec,0),),0))))</f>
        <v/>
      </c>
      <c r="E399" s="1423"/>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25">
      <c r="A400" s="92"/>
      <c r="B400" s="94"/>
      <c r="C400" s="978">
        <v>19</v>
      </c>
      <c r="D400" s="1422" t="str">
        <f>IF(D378="","",IF(COUNTIF(INDEX(CNTR_IOSupplyChain,MATCH(D378,CNTR_IOProcAndPrec,0),),C400)=0,"",INDEX(CNTR_IOProcAndPrec,MATCH(C400,INDEX(CNTR_IOSupplyChain,MATCH(D378,CNTR_IOProcAndPrec,0),),0))))</f>
        <v/>
      </c>
      <c r="E400" s="1423"/>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25">
      <c r="A401" s="92"/>
      <c r="B401" s="94"/>
      <c r="C401" s="978">
        <v>20</v>
      </c>
      <c r="D401" s="1422" t="str">
        <f>IF(D378="","",IF(COUNTIF(INDEX(CNTR_IOSupplyChain,MATCH(D378,CNTR_IOProcAndPrec,0),),C401)=0,"",INDEX(CNTR_IOProcAndPrec,MATCH(C401,INDEX(CNTR_IOSupplyChain,MATCH(D378,CNTR_IOProcAndPrec,0),),0))))</f>
        <v/>
      </c>
      <c r="E401" s="1423"/>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25">
      <c r="A402" s="92"/>
      <c r="B402" s="94"/>
      <c r="C402" s="978">
        <v>21</v>
      </c>
      <c r="D402" s="1422" t="str">
        <f>IF(D378="","",IF(COUNTIF(INDEX(CNTR_IOSupplyChain,MATCH(D378,CNTR_IOProcAndPrec,0),),C402)=0,"",INDEX(CNTR_IOProcAndPrec,MATCH(C402,INDEX(CNTR_IOSupplyChain,MATCH(D378,CNTR_IOProcAndPrec,0),),0))))</f>
        <v/>
      </c>
      <c r="E402" s="1423"/>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25">
      <c r="A403" s="92"/>
      <c r="B403" s="94"/>
      <c r="C403" s="978">
        <v>22</v>
      </c>
      <c r="D403" s="1422" t="str">
        <f>IF(D378="","",IF(COUNTIF(INDEX(CNTR_IOSupplyChain,MATCH(D378,CNTR_IOProcAndPrec,0),),C403)=0,"",INDEX(CNTR_IOProcAndPrec,MATCH(C403,INDEX(CNTR_IOSupplyChain,MATCH(D378,CNTR_IOProcAndPrec,0),),0))))</f>
        <v/>
      </c>
      <c r="E403" s="1423"/>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25">
      <c r="A404" s="92"/>
      <c r="B404" s="94"/>
      <c r="C404" s="978">
        <v>23</v>
      </c>
      <c r="D404" s="1422" t="str">
        <f>IF(D378="","",IF(COUNTIF(INDEX(CNTR_IOSupplyChain,MATCH(D378,CNTR_IOProcAndPrec,0),),C404)=0,"",INDEX(CNTR_IOProcAndPrec,MATCH(C404,INDEX(CNTR_IOSupplyChain,MATCH(D378,CNTR_IOProcAndPrec,0),),0))))</f>
        <v/>
      </c>
      <c r="E404" s="1423"/>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25">
      <c r="A405" s="92"/>
      <c r="B405" s="94"/>
      <c r="C405" s="978">
        <v>24</v>
      </c>
      <c r="D405" s="1422" t="str">
        <f>IF(D378="","",IF(COUNTIF(INDEX(CNTR_IOSupplyChain,MATCH(D378,CNTR_IOProcAndPrec,0),),C405)=0,"",INDEX(CNTR_IOProcAndPrec,MATCH(C405,INDEX(CNTR_IOSupplyChain,MATCH(D378,CNTR_IOProcAndPrec,0),),0))))</f>
        <v/>
      </c>
      <c r="E405" s="1423"/>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25">
      <c r="A406" s="92"/>
      <c r="B406" s="94"/>
      <c r="C406" s="978">
        <v>25</v>
      </c>
      <c r="D406" s="1422" t="str">
        <f>IF(D378="","",IF(COUNTIF(INDEX(CNTR_IOSupplyChain,MATCH(D378,CNTR_IOProcAndPrec,0),),C406)=0,"",INDEX(CNTR_IOProcAndPrec,MATCH(C406,INDEX(CNTR_IOSupplyChain,MATCH(D378,CNTR_IOProcAndPrec,0),),0))))</f>
        <v/>
      </c>
      <c r="E406" s="1423"/>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25">
      <c r="A407" s="92"/>
      <c r="B407" s="94"/>
      <c r="C407" s="978">
        <v>26</v>
      </c>
      <c r="D407" s="1422" t="str">
        <f>IF(D378="","",IF(COUNTIF(INDEX(CNTR_IOSupplyChain,MATCH(D378,CNTR_IOProcAndPrec,0),),C407)=0,"",INDEX(CNTR_IOProcAndPrec,MATCH(C407,INDEX(CNTR_IOSupplyChain,MATCH(D378,CNTR_IOProcAndPrec,0),),0))))</f>
        <v/>
      </c>
      <c r="E407" s="1423"/>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25">
      <c r="A408" s="92"/>
      <c r="B408" s="94"/>
      <c r="C408" s="978">
        <v>27</v>
      </c>
      <c r="D408" s="1422" t="str">
        <f>IF(D378="","",IF(COUNTIF(INDEX(CNTR_IOSupplyChain,MATCH(D378,CNTR_IOProcAndPrec,0),),C408)=0,"",INDEX(CNTR_IOProcAndPrec,MATCH(C408,INDEX(CNTR_IOSupplyChain,MATCH(D378,CNTR_IOProcAndPrec,0),),0))))</f>
        <v/>
      </c>
      <c r="E408" s="1423"/>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25">
      <c r="A409" s="92"/>
      <c r="B409" s="94"/>
      <c r="C409" s="978">
        <v>28</v>
      </c>
      <c r="D409" s="1422" t="str">
        <f>IF(D378="","",IF(COUNTIF(INDEX(CNTR_IOSupplyChain,MATCH(D378,CNTR_IOProcAndPrec,0),),C409)=0,"",INDEX(CNTR_IOProcAndPrec,MATCH(C409,INDEX(CNTR_IOSupplyChain,MATCH(D378,CNTR_IOProcAndPrec,0),),0))))</f>
        <v/>
      </c>
      <c r="E409" s="1423"/>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25">
      <c r="A410" s="92"/>
      <c r="B410" s="94"/>
      <c r="C410" s="978">
        <v>29</v>
      </c>
      <c r="D410" s="1422" t="str">
        <f>IF(D378="","",IF(COUNTIF(INDEX(CNTR_IOSupplyChain,MATCH(D378,CNTR_IOProcAndPrec,0),),C410)=0,"",INDEX(CNTR_IOProcAndPrec,MATCH(C410,INDEX(CNTR_IOSupplyChain,MATCH(D378,CNTR_IOProcAndPrec,0),),0))))</f>
        <v/>
      </c>
      <c r="E410" s="1423"/>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
      <c r="A411" s="92"/>
      <c r="B411" s="94"/>
      <c r="C411" s="978">
        <v>30</v>
      </c>
      <c r="D411" s="1424" t="str">
        <f>IF(D378="","",IF(COUNTIF(INDEX(CNTR_IOSupplyChain,MATCH(D378,CNTR_IOProcAndPrec,0),),C411)=0,"",INDEX(CNTR_IOProcAndPrec,MATCH(C411,INDEX(CNTR_IOSupplyChain,MATCH(D378,CNTR_IOProcAndPrec,0),),0))))</f>
        <v/>
      </c>
      <c r="E411" s="1425"/>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25">
      <c r="A414" s="977"/>
      <c r="B414" s="981"/>
      <c r="C414" s="1415">
        <f>C378+1</f>
        <v>8</v>
      </c>
      <c r="D414" s="1418" t="str">
        <f>IF(INDEX(CNTR_List_ExistProdProcNames,C414)=CONST_NA,"",INDEX(CNTR_List_ExistProdProcNames,C414))</f>
        <v/>
      </c>
      <c r="E414" s="1419"/>
      <c r="F414" s="1426" t="str">
        <f>Translations!$B$107</f>
        <v>Aggregated goods category</v>
      </c>
      <c r="G414" s="250" t="str">
        <f>Translations!$B$584</f>
        <v>Mass share</v>
      </c>
      <c r="H414" s="1428"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8" t="str">
        <f>Translations!$B$594</f>
        <v>Source of electricity EF</v>
      </c>
      <c r="P414" s="250" t="str">
        <f>Translations!$B$480</f>
        <v>Embedded electricity</v>
      </c>
      <c r="Q414" s="1430" t="str">
        <f>Translations!$B$1957</f>
        <v>Country code</v>
      </c>
      <c r="R414" s="1411" t="str">
        <f>Translations!$B$351</f>
        <v>CP due (per produced t or MWh)</v>
      </c>
      <c r="S414" s="1413"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
      <c r="A415" s="977"/>
      <c r="B415" s="981"/>
      <c r="C415" s="1416"/>
      <c r="D415" s="1420"/>
      <c r="E415" s="1421"/>
      <c r="F415" s="1427"/>
      <c r="G415" s="251" t="str">
        <f>IF($F416="",CONST_t,INDEX(CONST_LIST_GoodsUnit,MATCH($F416,CONST_LIST_Goods,0))) &amp;"/"&amp; IF($F416="",CONST_t,INDEX(CONST_LIST_GoodsUnit,MATCH($F416,CONST_LIST_Goods,0)))</f>
        <v>t/t</v>
      </c>
      <c r="H415" s="1429"/>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9"/>
      <c r="P415" s="251" t="str">
        <f>CONST_MWh &amp; "/" &amp; IF($F416="",CONST_t,INDEX(CONST_LIST_GoodsUnit,MATCH($F416,CONST_LIST_Goods,0)))</f>
        <v>MWh/t</v>
      </c>
      <c r="Q415" s="1431"/>
      <c r="R415" s="1412"/>
      <c r="S415" s="1414"/>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
      <c r="A416" s="92"/>
      <c r="B416" s="94"/>
      <c r="C416" s="1417"/>
      <c r="D416" s="1432" t="str">
        <f>Translations!$B$600</f>
        <v>Total production process</v>
      </c>
      <c r="E416" s="1433"/>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
      <c r="A417" s="92"/>
      <c r="B417" s="94"/>
      <c r="C417" s="144"/>
      <c r="D417" s="1434" t="str">
        <f>D414</f>
        <v/>
      </c>
      <c r="E417" s="1435"/>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25">
      <c r="A418" s="92"/>
      <c r="B418" s="94"/>
      <c r="C418" s="978">
        <v>1</v>
      </c>
      <c r="D418" s="1436" t="str">
        <f>IF(D414="","",IF(COUNTIF(INDEX(CNTR_IOSupplyChain,MATCH(D414,CNTR_IOProcAndPrec,0),),C418)=0,"",INDEX(CNTR_IOProcAndPrec,MATCH(C418,INDEX(CNTR_IOSupplyChain,MATCH(D414,CNTR_IOProcAndPrec,0),),0))))</f>
        <v/>
      </c>
      <c r="E418" s="1437"/>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25">
      <c r="A419" s="92"/>
      <c r="B419" s="94"/>
      <c r="C419" s="978">
        <v>2</v>
      </c>
      <c r="D419" s="1422" t="str">
        <f>IF(D414="","",IF(COUNTIF(INDEX(CNTR_IOSupplyChain,MATCH(D414,CNTR_IOProcAndPrec,0),),C419)=0,"",INDEX(CNTR_IOProcAndPrec,MATCH(C419,INDEX(CNTR_IOSupplyChain,MATCH(D414,CNTR_IOProcAndPrec,0),),0))))</f>
        <v/>
      </c>
      <c r="E419" s="1423"/>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25">
      <c r="A420" s="92"/>
      <c r="B420" s="94"/>
      <c r="C420" s="978">
        <v>3</v>
      </c>
      <c r="D420" s="1422" t="str">
        <f>IF(D414="","",IF(COUNTIF(INDEX(CNTR_IOSupplyChain,MATCH(D414,CNTR_IOProcAndPrec,0),),C420)=0,"",INDEX(CNTR_IOProcAndPrec,MATCH(C420,INDEX(CNTR_IOSupplyChain,MATCH(D414,CNTR_IOProcAndPrec,0),),0))))</f>
        <v/>
      </c>
      <c r="E420" s="1423"/>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25">
      <c r="A421" s="92"/>
      <c r="B421" s="94"/>
      <c r="C421" s="978">
        <v>4</v>
      </c>
      <c r="D421" s="1422" t="str">
        <f>IF(D414="","",IF(COUNTIF(INDEX(CNTR_IOSupplyChain,MATCH(D414,CNTR_IOProcAndPrec,0),),C421)=0,"",INDEX(CNTR_IOProcAndPrec,MATCH(C421,INDEX(CNTR_IOSupplyChain,MATCH(D414,CNTR_IOProcAndPrec,0),),0))))</f>
        <v/>
      </c>
      <c r="E421" s="1423"/>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25">
      <c r="A422" s="92"/>
      <c r="B422" s="94"/>
      <c r="C422" s="978">
        <v>5</v>
      </c>
      <c r="D422" s="1422" t="str">
        <f>IF(D414="","",IF(COUNTIF(INDEX(CNTR_IOSupplyChain,MATCH(D414,CNTR_IOProcAndPrec,0),),C422)=0,"",INDEX(CNTR_IOProcAndPrec,MATCH(C422,INDEX(CNTR_IOSupplyChain,MATCH(D414,CNTR_IOProcAndPrec,0),),0))))</f>
        <v/>
      </c>
      <c r="E422" s="1423"/>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25">
      <c r="A423" s="92"/>
      <c r="B423" s="94"/>
      <c r="C423" s="978">
        <v>6</v>
      </c>
      <c r="D423" s="1422" t="str">
        <f>IF(D414="","",IF(COUNTIF(INDEX(CNTR_IOSupplyChain,MATCH(D414,CNTR_IOProcAndPrec,0),),C423)=0,"",INDEX(CNTR_IOProcAndPrec,MATCH(C423,INDEX(CNTR_IOSupplyChain,MATCH(D414,CNTR_IOProcAndPrec,0),),0))))</f>
        <v/>
      </c>
      <c r="E423" s="1423"/>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25">
      <c r="A424" s="92"/>
      <c r="B424" s="94"/>
      <c r="C424" s="978">
        <v>7</v>
      </c>
      <c r="D424" s="1422" t="str">
        <f>IF(D414="","",IF(COUNTIF(INDEX(CNTR_IOSupplyChain,MATCH(D414,CNTR_IOProcAndPrec,0),),C424)=0,"",INDEX(CNTR_IOProcAndPrec,MATCH(C424,INDEX(CNTR_IOSupplyChain,MATCH(D414,CNTR_IOProcAndPrec,0),),0))))</f>
        <v/>
      </c>
      <c r="E424" s="1423"/>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25">
      <c r="A425" s="92"/>
      <c r="B425" s="94"/>
      <c r="C425" s="978">
        <v>8</v>
      </c>
      <c r="D425" s="1422" t="str">
        <f>IF(D414="","",IF(COUNTIF(INDEX(CNTR_IOSupplyChain,MATCH(D414,CNTR_IOProcAndPrec,0),),C425)=0,"",INDEX(CNTR_IOProcAndPrec,MATCH(C425,INDEX(CNTR_IOSupplyChain,MATCH(D414,CNTR_IOProcAndPrec,0),),0))))</f>
        <v/>
      </c>
      <c r="E425" s="1423"/>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25">
      <c r="A426" s="92"/>
      <c r="B426" s="94"/>
      <c r="C426" s="978">
        <v>9</v>
      </c>
      <c r="D426" s="1422" t="str">
        <f>IF(D414="","",IF(COUNTIF(INDEX(CNTR_IOSupplyChain,MATCH(D414,CNTR_IOProcAndPrec,0),),C426)=0,"",INDEX(CNTR_IOProcAndPrec,MATCH(C426,INDEX(CNTR_IOSupplyChain,MATCH(D414,CNTR_IOProcAndPrec,0),),0))))</f>
        <v/>
      </c>
      <c r="E426" s="1423"/>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25">
      <c r="A427" s="92"/>
      <c r="B427" s="94"/>
      <c r="C427" s="978">
        <v>10</v>
      </c>
      <c r="D427" s="1422" t="str">
        <f>IF(D414="","",IF(COUNTIF(INDEX(CNTR_IOSupplyChain,MATCH(D414,CNTR_IOProcAndPrec,0),),C427)=0,"",INDEX(CNTR_IOProcAndPrec,MATCH(C427,INDEX(CNTR_IOSupplyChain,MATCH(D414,CNTR_IOProcAndPrec,0),),0))))</f>
        <v/>
      </c>
      <c r="E427" s="1423"/>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25">
      <c r="A428" s="92"/>
      <c r="B428" s="94"/>
      <c r="C428" s="978">
        <v>11</v>
      </c>
      <c r="D428" s="1422" t="str">
        <f>IF(D414="","",IF(COUNTIF(INDEX(CNTR_IOSupplyChain,MATCH(D414,CNTR_IOProcAndPrec,0),),C428)=0,"",INDEX(CNTR_IOProcAndPrec,MATCH(C428,INDEX(CNTR_IOSupplyChain,MATCH(D414,CNTR_IOProcAndPrec,0),),0))))</f>
        <v/>
      </c>
      <c r="E428" s="1423"/>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25">
      <c r="A429" s="92"/>
      <c r="B429" s="94"/>
      <c r="C429" s="978">
        <v>12</v>
      </c>
      <c r="D429" s="1422" t="str">
        <f>IF(D414="","",IF(COUNTIF(INDEX(CNTR_IOSupplyChain,MATCH(D414,CNTR_IOProcAndPrec,0),),C429)=0,"",INDEX(CNTR_IOProcAndPrec,MATCH(C429,INDEX(CNTR_IOSupplyChain,MATCH(D414,CNTR_IOProcAndPrec,0),),0))))</f>
        <v/>
      </c>
      <c r="E429" s="1423"/>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25">
      <c r="A430" s="92"/>
      <c r="B430" s="94"/>
      <c r="C430" s="978">
        <v>13</v>
      </c>
      <c r="D430" s="1422" t="str">
        <f>IF(D414="","",IF(COUNTIF(INDEX(CNTR_IOSupplyChain,MATCH(D414,CNTR_IOProcAndPrec,0),),C430)=0,"",INDEX(CNTR_IOProcAndPrec,MATCH(C430,INDEX(CNTR_IOSupplyChain,MATCH(D414,CNTR_IOProcAndPrec,0),),0))))</f>
        <v/>
      </c>
      <c r="E430" s="1423"/>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25">
      <c r="A431" s="92"/>
      <c r="B431" s="94"/>
      <c r="C431" s="978">
        <v>14</v>
      </c>
      <c r="D431" s="1422" t="str">
        <f>IF(D414="","",IF(COUNTIF(INDEX(CNTR_IOSupplyChain,MATCH(D414,CNTR_IOProcAndPrec,0),),C431)=0,"",INDEX(CNTR_IOProcAndPrec,MATCH(C431,INDEX(CNTR_IOSupplyChain,MATCH(D414,CNTR_IOProcAndPrec,0),),0))))</f>
        <v/>
      </c>
      <c r="E431" s="1423"/>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25">
      <c r="A432" s="92"/>
      <c r="B432" s="94"/>
      <c r="C432" s="978">
        <v>15</v>
      </c>
      <c r="D432" s="1422" t="str">
        <f>IF(D414="","",IF(COUNTIF(INDEX(CNTR_IOSupplyChain,MATCH(D414,CNTR_IOProcAndPrec,0),),C432)=0,"",INDEX(CNTR_IOProcAndPrec,MATCH(C432,INDEX(CNTR_IOSupplyChain,MATCH(D414,CNTR_IOProcAndPrec,0),),0))))</f>
        <v/>
      </c>
      <c r="E432" s="1423"/>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25">
      <c r="A433" s="92"/>
      <c r="B433" s="94"/>
      <c r="C433" s="978">
        <v>16</v>
      </c>
      <c r="D433" s="1422" t="str">
        <f>IF(D414="","",IF(COUNTIF(INDEX(CNTR_IOSupplyChain,MATCH(D414,CNTR_IOProcAndPrec,0),),C433)=0,"",INDEX(CNTR_IOProcAndPrec,MATCH(C433,INDEX(CNTR_IOSupplyChain,MATCH(D414,CNTR_IOProcAndPrec,0),),0))))</f>
        <v/>
      </c>
      <c r="E433" s="1423"/>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25">
      <c r="A434" s="92"/>
      <c r="B434" s="94"/>
      <c r="C434" s="978">
        <v>17</v>
      </c>
      <c r="D434" s="1422" t="str">
        <f>IF(D414="","",IF(COUNTIF(INDEX(CNTR_IOSupplyChain,MATCH(D414,CNTR_IOProcAndPrec,0),),C434)=0,"",INDEX(CNTR_IOProcAndPrec,MATCH(C434,INDEX(CNTR_IOSupplyChain,MATCH(D414,CNTR_IOProcAndPrec,0),),0))))</f>
        <v/>
      </c>
      <c r="E434" s="1423"/>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25">
      <c r="A435" s="92"/>
      <c r="B435" s="94"/>
      <c r="C435" s="978">
        <v>18</v>
      </c>
      <c r="D435" s="1422" t="str">
        <f>IF(D414="","",IF(COUNTIF(INDEX(CNTR_IOSupplyChain,MATCH(D414,CNTR_IOProcAndPrec,0),),C435)=0,"",INDEX(CNTR_IOProcAndPrec,MATCH(C435,INDEX(CNTR_IOSupplyChain,MATCH(D414,CNTR_IOProcAndPrec,0),),0))))</f>
        <v/>
      </c>
      <c r="E435" s="1423"/>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25">
      <c r="A436" s="92"/>
      <c r="B436" s="94"/>
      <c r="C436" s="978">
        <v>19</v>
      </c>
      <c r="D436" s="1422" t="str">
        <f>IF(D414="","",IF(COUNTIF(INDEX(CNTR_IOSupplyChain,MATCH(D414,CNTR_IOProcAndPrec,0),),C436)=0,"",INDEX(CNTR_IOProcAndPrec,MATCH(C436,INDEX(CNTR_IOSupplyChain,MATCH(D414,CNTR_IOProcAndPrec,0),),0))))</f>
        <v/>
      </c>
      <c r="E436" s="1423"/>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25">
      <c r="A437" s="92"/>
      <c r="B437" s="94"/>
      <c r="C437" s="978">
        <v>20</v>
      </c>
      <c r="D437" s="1422" t="str">
        <f>IF(D414="","",IF(COUNTIF(INDEX(CNTR_IOSupplyChain,MATCH(D414,CNTR_IOProcAndPrec,0),),C437)=0,"",INDEX(CNTR_IOProcAndPrec,MATCH(C437,INDEX(CNTR_IOSupplyChain,MATCH(D414,CNTR_IOProcAndPrec,0),),0))))</f>
        <v/>
      </c>
      <c r="E437" s="1423"/>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25">
      <c r="A438" s="92"/>
      <c r="B438" s="94"/>
      <c r="C438" s="978">
        <v>21</v>
      </c>
      <c r="D438" s="1422" t="str">
        <f>IF(D414="","",IF(COUNTIF(INDEX(CNTR_IOSupplyChain,MATCH(D414,CNTR_IOProcAndPrec,0),),C438)=0,"",INDEX(CNTR_IOProcAndPrec,MATCH(C438,INDEX(CNTR_IOSupplyChain,MATCH(D414,CNTR_IOProcAndPrec,0),),0))))</f>
        <v/>
      </c>
      <c r="E438" s="1423"/>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25">
      <c r="A439" s="92"/>
      <c r="B439" s="94"/>
      <c r="C439" s="978">
        <v>22</v>
      </c>
      <c r="D439" s="1422" t="str">
        <f>IF(D414="","",IF(COUNTIF(INDEX(CNTR_IOSupplyChain,MATCH(D414,CNTR_IOProcAndPrec,0),),C439)=0,"",INDEX(CNTR_IOProcAndPrec,MATCH(C439,INDEX(CNTR_IOSupplyChain,MATCH(D414,CNTR_IOProcAndPrec,0),),0))))</f>
        <v/>
      </c>
      <c r="E439" s="1423"/>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25">
      <c r="A440" s="92"/>
      <c r="B440" s="94"/>
      <c r="C440" s="978">
        <v>23</v>
      </c>
      <c r="D440" s="1422" t="str">
        <f>IF(D414="","",IF(COUNTIF(INDEX(CNTR_IOSupplyChain,MATCH(D414,CNTR_IOProcAndPrec,0),),C440)=0,"",INDEX(CNTR_IOProcAndPrec,MATCH(C440,INDEX(CNTR_IOSupplyChain,MATCH(D414,CNTR_IOProcAndPrec,0),),0))))</f>
        <v/>
      </c>
      <c r="E440" s="1423"/>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25">
      <c r="A441" s="92"/>
      <c r="B441" s="94"/>
      <c r="C441" s="978">
        <v>24</v>
      </c>
      <c r="D441" s="1422" t="str">
        <f>IF(D414="","",IF(COUNTIF(INDEX(CNTR_IOSupplyChain,MATCH(D414,CNTR_IOProcAndPrec,0),),C441)=0,"",INDEX(CNTR_IOProcAndPrec,MATCH(C441,INDEX(CNTR_IOSupplyChain,MATCH(D414,CNTR_IOProcAndPrec,0),),0))))</f>
        <v/>
      </c>
      <c r="E441" s="1423"/>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25">
      <c r="A442" s="92"/>
      <c r="B442" s="94"/>
      <c r="C442" s="978">
        <v>25</v>
      </c>
      <c r="D442" s="1422" t="str">
        <f>IF(D414="","",IF(COUNTIF(INDEX(CNTR_IOSupplyChain,MATCH(D414,CNTR_IOProcAndPrec,0),),C442)=0,"",INDEX(CNTR_IOProcAndPrec,MATCH(C442,INDEX(CNTR_IOSupplyChain,MATCH(D414,CNTR_IOProcAndPrec,0),),0))))</f>
        <v/>
      </c>
      <c r="E442" s="1423"/>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25">
      <c r="A443" s="92"/>
      <c r="B443" s="94"/>
      <c r="C443" s="978">
        <v>26</v>
      </c>
      <c r="D443" s="1422" t="str">
        <f>IF(D414="","",IF(COUNTIF(INDEX(CNTR_IOSupplyChain,MATCH(D414,CNTR_IOProcAndPrec,0),),C443)=0,"",INDEX(CNTR_IOProcAndPrec,MATCH(C443,INDEX(CNTR_IOSupplyChain,MATCH(D414,CNTR_IOProcAndPrec,0),),0))))</f>
        <v/>
      </c>
      <c r="E443" s="1423"/>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25">
      <c r="A444" s="92"/>
      <c r="B444" s="94"/>
      <c r="C444" s="978">
        <v>27</v>
      </c>
      <c r="D444" s="1422" t="str">
        <f>IF(D414="","",IF(COUNTIF(INDEX(CNTR_IOSupplyChain,MATCH(D414,CNTR_IOProcAndPrec,0),),C444)=0,"",INDEX(CNTR_IOProcAndPrec,MATCH(C444,INDEX(CNTR_IOSupplyChain,MATCH(D414,CNTR_IOProcAndPrec,0),),0))))</f>
        <v/>
      </c>
      <c r="E444" s="1423"/>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25">
      <c r="A445" s="92"/>
      <c r="B445" s="94"/>
      <c r="C445" s="978">
        <v>28</v>
      </c>
      <c r="D445" s="1422" t="str">
        <f>IF(D414="","",IF(COUNTIF(INDEX(CNTR_IOSupplyChain,MATCH(D414,CNTR_IOProcAndPrec,0),),C445)=0,"",INDEX(CNTR_IOProcAndPrec,MATCH(C445,INDEX(CNTR_IOSupplyChain,MATCH(D414,CNTR_IOProcAndPrec,0),),0))))</f>
        <v/>
      </c>
      <c r="E445" s="1423"/>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25">
      <c r="A446" s="92"/>
      <c r="B446" s="94"/>
      <c r="C446" s="978">
        <v>29</v>
      </c>
      <c r="D446" s="1422" t="str">
        <f>IF(D414="","",IF(COUNTIF(INDEX(CNTR_IOSupplyChain,MATCH(D414,CNTR_IOProcAndPrec,0),),C446)=0,"",INDEX(CNTR_IOProcAndPrec,MATCH(C446,INDEX(CNTR_IOSupplyChain,MATCH(D414,CNTR_IOProcAndPrec,0),),0))))</f>
        <v/>
      </c>
      <c r="E446" s="1423"/>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
      <c r="A447" s="92"/>
      <c r="B447" s="94"/>
      <c r="C447" s="978">
        <v>30</v>
      </c>
      <c r="D447" s="1424" t="str">
        <f>IF(D414="","",IF(COUNTIF(INDEX(CNTR_IOSupplyChain,MATCH(D414,CNTR_IOProcAndPrec,0),),C447)=0,"",INDEX(CNTR_IOProcAndPrec,MATCH(C447,INDEX(CNTR_IOSupplyChain,MATCH(D414,CNTR_IOProcAndPrec,0),),0))))</f>
        <v/>
      </c>
      <c r="E447" s="1425"/>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25">
      <c r="A450" s="977"/>
      <c r="B450" s="981"/>
      <c r="C450" s="1415">
        <f>C414+1</f>
        <v>9</v>
      </c>
      <c r="D450" s="1418" t="str">
        <f>IF(INDEX(CNTR_List_ExistProdProcNames,C450)=CONST_NA,"",INDEX(CNTR_List_ExistProdProcNames,C450))</f>
        <v/>
      </c>
      <c r="E450" s="1419"/>
      <c r="F450" s="1426" t="str">
        <f>Translations!$B$107</f>
        <v>Aggregated goods category</v>
      </c>
      <c r="G450" s="250" t="str">
        <f>Translations!$B$584</f>
        <v>Mass share</v>
      </c>
      <c r="H450" s="1428"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8" t="str">
        <f>Translations!$B$594</f>
        <v>Source of electricity EF</v>
      </c>
      <c r="P450" s="250" t="str">
        <f>Translations!$B$480</f>
        <v>Embedded electricity</v>
      </c>
      <c r="Q450" s="1430" t="str">
        <f>Translations!$B$1957</f>
        <v>Country code</v>
      </c>
      <c r="R450" s="1411" t="str">
        <f>Translations!$B$351</f>
        <v>CP due (per produced t or MWh)</v>
      </c>
      <c r="S450" s="1413"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
      <c r="A451" s="977"/>
      <c r="B451" s="981"/>
      <c r="C451" s="1416"/>
      <c r="D451" s="1420"/>
      <c r="E451" s="1421"/>
      <c r="F451" s="1427"/>
      <c r="G451" s="251" t="str">
        <f>IF($F452="",CONST_t,INDEX(CONST_LIST_GoodsUnit,MATCH($F452,CONST_LIST_Goods,0))) &amp;"/"&amp; IF($F452="",CONST_t,INDEX(CONST_LIST_GoodsUnit,MATCH($F452,CONST_LIST_Goods,0)))</f>
        <v>t/t</v>
      </c>
      <c r="H451" s="1429"/>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9"/>
      <c r="P451" s="251" t="str">
        <f>CONST_MWh &amp; "/" &amp; IF($F452="",CONST_t,INDEX(CONST_LIST_GoodsUnit,MATCH($F452,CONST_LIST_Goods,0)))</f>
        <v>MWh/t</v>
      </c>
      <c r="Q451" s="1431"/>
      <c r="R451" s="1412"/>
      <c r="S451" s="1414"/>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
      <c r="A452" s="92"/>
      <c r="B452" s="94"/>
      <c r="C452" s="1417"/>
      <c r="D452" s="1432" t="str">
        <f>Translations!$B$600</f>
        <v>Total production process</v>
      </c>
      <c r="E452" s="1433"/>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
      <c r="A453" s="92"/>
      <c r="B453" s="94"/>
      <c r="C453" s="144"/>
      <c r="D453" s="1434" t="str">
        <f>D450</f>
        <v/>
      </c>
      <c r="E453" s="1435"/>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25">
      <c r="A454" s="92"/>
      <c r="B454" s="94"/>
      <c r="C454" s="978">
        <v>1</v>
      </c>
      <c r="D454" s="1436" t="str">
        <f>IF(D450="","",IF(COUNTIF(INDEX(CNTR_IOSupplyChain,MATCH(D450,CNTR_IOProcAndPrec,0),),C454)=0,"",INDEX(CNTR_IOProcAndPrec,MATCH(C454,INDEX(CNTR_IOSupplyChain,MATCH(D450,CNTR_IOProcAndPrec,0),),0))))</f>
        <v/>
      </c>
      <c r="E454" s="1437"/>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25">
      <c r="A455" s="92"/>
      <c r="B455" s="94"/>
      <c r="C455" s="978">
        <v>2</v>
      </c>
      <c r="D455" s="1422" t="str">
        <f>IF(D450="","",IF(COUNTIF(INDEX(CNTR_IOSupplyChain,MATCH(D450,CNTR_IOProcAndPrec,0),),C455)=0,"",INDEX(CNTR_IOProcAndPrec,MATCH(C455,INDEX(CNTR_IOSupplyChain,MATCH(D450,CNTR_IOProcAndPrec,0),),0))))</f>
        <v/>
      </c>
      <c r="E455" s="1423"/>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25">
      <c r="A456" s="92"/>
      <c r="B456" s="94"/>
      <c r="C456" s="978">
        <v>3</v>
      </c>
      <c r="D456" s="1422" t="str">
        <f>IF(D450="","",IF(COUNTIF(INDEX(CNTR_IOSupplyChain,MATCH(D450,CNTR_IOProcAndPrec,0),),C456)=0,"",INDEX(CNTR_IOProcAndPrec,MATCH(C456,INDEX(CNTR_IOSupplyChain,MATCH(D450,CNTR_IOProcAndPrec,0),),0))))</f>
        <v/>
      </c>
      <c r="E456" s="1423"/>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25">
      <c r="A457" s="92"/>
      <c r="B457" s="94"/>
      <c r="C457" s="978">
        <v>4</v>
      </c>
      <c r="D457" s="1422" t="str">
        <f>IF(D450="","",IF(COUNTIF(INDEX(CNTR_IOSupplyChain,MATCH(D450,CNTR_IOProcAndPrec,0),),C457)=0,"",INDEX(CNTR_IOProcAndPrec,MATCH(C457,INDEX(CNTR_IOSupplyChain,MATCH(D450,CNTR_IOProcAndPrec,0),),0))))</f>
        <v/>
      </c>
      <c r="E457" s="1423"/>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25">
      <c r="A458" s="92"/>
      <c r="B458" s="94"/>
      <c r="C458" s="978">
        <v>5</v>
      </c>
      <c r="D458" s="1422" t="str">
        <f>IF(D450="","",IF(COUNTIF(INDEX(CNTR_IOSupplyChain,MATCH(D450,CNTR_IOProcAndPrec,0),),C458)=0,"",INDEX(CNTR_IOProcAndPrec,MATCH(C458,INDEX(CNTR_IOSupplyChain,MATCH(D450,CNTR_IOProcAndPrec,0),),0))))</f>
        <v/>
      </c>
      <c r="E458" s="1423"/>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25">
      <c r="A459" s="92"/>
      <c r="B459" s="94"/>
      <c r="C459" s="978">
        <v>6</v>
      </c>
      <c r="D459" s="1422" t="str">
        <f>IF(D450="","",IF(COUNTIF(INDEX(CNTR_IOSupplyChain,MATCH(D450,CNTR_IOProcAndPrec,0),),C459)=0,"",INDEX(CNTR_IOProcAndPrec,MATCH(C459,INDEX(CNTR_IOSupplyChain,MATCH(D450,CNTR_IOProcAndPrec,0),),0))))</f>
        <v/>
      </c>
      <c r="E459" s="1423"/>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25">
      <c r="A460" s="92"/>
      <c r="B460" s="94"/>
      <c r="C460" s="978">
        <v>7</v>
      </c>
      <c r="D460" s="1422" t="str">
        <f>IF(D450="","",IF(COUNTIF(INDEX(CNTR_IOSupplyChain,MATCH(D450,CNTR_IOProcAndPrec,0),),C460)=0,"",INDEX(CNTR_IOProcAndPrec,MATCH(C460,INDEX(CNTR_IOSupplyChain,MATCH(D450,CNTR_IOProcAndPrec,0),),0))))</f>
        <v/>
      </c>
      <c r="E460" s="1423"/>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25">
      <c r="A461" s="92"/>
      <c r="B461" s="94"/>
      <c r="C461" s="978">
        <v>8</v>
      </c>
      <c r="D461" s="1422" t="str">
        <f>IF(D450="","",IF(COUNTIF(INDEX(CNTR_IOSupplyChain,MATCH(D450,CNTR_IOProcAndPrec,0),),C461)=0,"",INDEX(CNTR_IOProcAndPrec,MATCH(C461,INDEX(CNTR_IOSupplyChain,MATCH(D450,CNTR_IOProcAndPrec,0),),0))))</f>
        <v/>
      </c>
      <c r="E461" s="1423"/>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25">
      <c r="A462" s="92"/>
      <c r="B462" s="94"/>
      <c r="C462" s="978">
        <v>9</v>
      </c>
      <c r="D462" s="1422" t="str">
        <f>IF(D450="","",IF(COUNTIF(INDEX(CNTR_IOSupplyChain,MATCH(D450,CNTR_IOProcAndPrec,0),),C462)=0,"",INDEX(CNTR_IOProcAndPrec,MATCH(C462,INDEX(CNTR_IOSupplyChain,MATCH(D450,CNTR_IOProcAndPrec,0),),0))))</f>
        <v/>
      </c>
      <c r="E462" s="1423"/>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25">
      <c r="A463" s="92"/>
      <c r="B463" s="94"/>
      <c r="C463" s="978">
        <v>10</v>
      </c>
      <c r="D463" s="1422" t="str">
        <f>IF(D450="","",IF(COUNTIF(INDEX(CNTR_IOSupplyChain,MATCH(D450,CNTR_IOProcAndPrec,0),),C463)=0,"",INDEX(CNTR_IOProcAndPrec,MATCH(C463,INDEX(CNTR_IOSupplyChain,MATCH(D450,CNTR_IOProcAndPrec,0),),0))))</f>
        <v/>
      </c>
      <c r="E463" s="1423"/>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25">
      <c r="A464" s="92"/>
      <c r="B464" s="94"/>
      <c r="C464" s="978">
        <v>11</v>
      </c>
      <c r="D464" s="1422" t="str">
        <f>IF(D450="","",IF(COUNTIF(INDEX(CNTR_IOSupplyChain,MATCH(D450,CNTR_IOProcAndPrec,0),),C464)=0,"",INDEX(CNTR_IOProcAndPrec,MATCH(C464,INDEX(CNTR_IOSupplyChain,MATCH(D450,CNTR_IOProcAndPrec,0),),0))))</f>
        <v/>
      </c>
      <c r="E464" s="1423"/>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25">
      <c r="A465" s="92"/>
      <c r="B465" s="94"/>
      <c r="C465" s="978">
        <v>12</v>
      </c>
      <c r="D465" s="1422" t="str">
        <f>IF(D450="","",IF(COUNTIF(INDEX(CNTR_IOSupplyChain,MATCH(D450,CNTR_IOProcAndPrec,0),),C465)=0,"",INDEX(CNTR_IOProcAndPrec,MATCH(C465,INDEX(CNTR_IOSupplyChain,MATCH(D450,CNTR_IOProcAndPrec,0),),0))))</f>
        <v/>
      </c>
      <c r="E465" s="1423"/>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25">
      <c r="A466" s="92"/>
      <c r="B466" s="94"/>
      <c r="C466" s="978">
        <v>13</v>
      </c>
      <c r="D466" s="1422" t="str">
        <f>IF(D450="","",IF(COUNTIF(INDEX(CNTR_IOSupplyChain,MATCH(D450,CNTR_IOProcAndPrec,0),),C466)=0,"",INDEX(CNTR_IOProcAndPrec,MATCH(C466,INDEX(CNTR_IOSupplyChain,MATCH(D450,CNTR_IOProcAndPrec,0),),0))))</f>
        <v/>
      </c>
      <c r="E466" s="1423"/>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25">
      <c r="A467" s="92"/>
      <c r="B467" s="94"/>
      <c r="C467" s="978">
        <v>14</v>
      </c>
      <c r="D467" s="1422" t="str">
        <f>IF(D450="","",IF(COUNTIF(INDEX(CNTR_IOSupplyChain,MATCH(D450,CNTR_IOProcAndPrec,0),),C467)=0,"",INDEX(CNTR_IOProcAndPrec,MATCH(C467,INDEX(CNTR_IOSupplyChain,MATCH(D450,CNTR_IOProcAndPrec,0),),0))))</f>
        <v/>
      </c>
      <c r="E467" s="1423"/>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25">
      <c r="A468" s="92"/>
      <c r="B468" s="94"/>
      <c r="C468" s="978">
        <v>15</v>
      </c>
      <c r="D468" s="1422" t="str">
        <f>IF(D450="","",IF(COUNTIF(INDEX(CNTR_IOSupplyChain,MATCH(D450,CNTR_IOProcAndPrec,0),),C468)=0,"",INDEX(CNTR_IOProcAndPrec,MATCH(C468,INDEX(CNTR_IOSupplyChain,MATCH(D450,CNTR_IOProcAndPrec,0),),0))))</f>
        <v/>
      </c>
      <c r="E468" s="1423"/>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25">
      <c r="A469" s="92"/>
      <c r="B469" s="94"/>
      <c r="C469" s="978">
        <v>16</v>
      </c>
      <c r="D469" s="1422" t="str">
        <f>IF(D450="","",IF(COUNTIF(INDEX(CNTR_IOSupplyChain,MATCH(D450,CNTR_IOProcAndPrec,0),),C469)=0,"",INDEX(CNTR_IOProcAndPrec,MATCH(C469,INDEX(CNTR_IOSupplyChain,MATCH(D450,CNTR_IOProcAndPrec,0),),0))))</f>
        <v/>
      </c>
      <c r="E469" s="1423"/>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25">
      <c r="A470" s="92"/>
      <c r="B470" s="94"/>
      <c r="C470" s="978">
        <v>17</v>
      </c>
      <c r="D470" s="1422" t="str">
        <f>IF(D450="","",IF(COUNTIF(INDEX(CNTR_IOSupplyChain,MATCH(D450,CNTR_IOProcAndPrec,0),),C470)=0,"",INDEX(CNTR_IOProcAndPrec,MATCH(C470,INDEX(CNTR_IOSupplyChain,MATCH(D450,CNTR_IOProcAndPrec,0),),0))))</f>
        <v/>
      </c>
      <c r="E470" s="1423"/>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25">
      <c r="A471" s="92"/>
      <c r="B471" s="94"/>
      <c r="C471" s="978">
        <v>18</v>
      </c>
      <c r="D471" s="1422" t="str">
        <f>IF(D450="","",IF(COUNTIF(INDEX(CNTR_IOSupplyChain,MATCH(D450,CNTR_IOProcAndPrec,0),),C471)=0,"",INDEX(CNTR_IOProcAndPrec,MATCH(C471,INDEX(CNTR_IOSupplyChain,MATCH(D450,CNTR_IOProcAndPrec,0),),0))))</f>
        <v/>
      </c>
      <c r="E471" s="1423"/>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25">
      <c r="A472" s="92"/>
      <c r="B472" s="94"/>
      <c r="C472" s="978">
        <v>19</v>
      </c>
      <c r="D472" s="1422" t="str">
        <f>IF(D450="","",IF(COUNTIF(INDEX(CNTR_IOSupplyChain,MATCH(D450,CNTR_IOProcAndPrec,0),),C472)=0,"",INDEX(CNTR_IOProcAndPrec,MATCH(C472,INDEX(CNTR_IOSupplyChain,MATCH(D450,CNTR_IOProcAndPrec,0),),0))))</f>
        <v/>
      </c>
      <c r="E472" s="1423"/>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25">
      <c r="A473" s="92"/>
      <c r="B473" s="94"/>
      <c r="C473" s="978">
        <v>20</v>
      </c>
      <c r="D473" s="1422" t="str">
        <f>IF(D450="","",IF(COUNTIF(INDEX(CNTR_IOSupplyChain,MATCH(D450,CNTR_IOProcAndPrec,0),),C473)=0,"",INDEX(CNTR_IOProcAndPrec,MATCH(C473,INDEX(CNTR_IOSupplyChain,MATCH(D450,CNTR_IOProcAndPrec,0),),0))))</f>
        <v/>
      </c>
      <c r="E473" s="1423"/>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25">
      <c r="A474" s="92"/>
      <c r="B474" s="94"/>
      <c r="C474" s="978">
        <v>21</v>
      </c>
      <c r="D474" s="1422" t="str">
        <f>IF(D450="","",IF(COUNTIF(INDEX(CNTR_IOSupplyChain,MATCH(D450,CNTR_IOProcAndPrec,0),),C474)=0,"",INDEX(CNTR_IOProcAndPrec,MATCH(C474,INDEX(CNTR_IOSupplyChain,MATCH(D450,CNTR_IOProcAndPrec,0),),0))))</f>
        <v/>
      </c>
      <c r="E474" s="1423"/>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25">
      <c r="A475" s="92"/>
      <c r="B475" s="94"/>
      <c r="C475" s="978">
        <v>22</v>
      </c>
      <c r="D475" s="1422" t="str">
        <f>IF(D450="","",IF(COUNTIF(INDEX(CNTR_IOSupplyChain,MATCH(D450,CNTR_IOProcAndPrec,0),),C475)=0,"",INDEX(CNTR_IOProcAndPrec,MATCH(C475,INDEX(CNTR_IOSupplyChain,MATCH(D450,CNTR_IOProcAndPrec,0),),0))))</f>
        <v/>
      </c>
      <c r="E475" s="1423"/>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25">
      <c r="A476" s="92"/>
      <c r="B476" s="94"/>
      <c r="C476" s="978">
        <v>23</v>
      </c>
      <c r="D476" s="1422" t="str">
        <f>IF(D450="","",IF(COUNTIF(INDEX(CNTR_IOSupplyChain,MATCH(D450,CNTR_IOProcAndPrec,0),),C476)=0,"",INDEX(CNTR_IOProcAndPrec,MATCH(C476,INDEX(CNTR_IOSupplyChain,MATCH(D450,CNTR_IOProcAndPrec,0),),0))))</f>
        <v/>
      </c>
      <c r="E476" s="1423"/>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25">
      <c r="A477" s="92"/>
      <c r="B477" s="94"/>
      <c r="C477" s="978">
        <v>24</v>
      </c>
      <c r="D477" s="1422" t="str">
        <f>IF(D450="","",IF(COUNTIF(INDEX(CNTR_IOSupplyChain,MATCH(D450,CNTR_IOProcAndPrec,0),),C477)=0,"",INDEX(CNTR_IOProcAndPrec,MATCH(C477,INDEX(CNTR_IOSupplyChain,MATCH(D450,CNTR_IOProcAndPrec,0),),0))))</f>
        <v/>
      </c>
      <c r="E477" s="1423"/>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25">
      <c r="A478" s="92"/>
      <c r="B478" s="94"/>
      <c r="C478" s="978">
        <v>25</v>
      </c>
      <c r="D478" s="1422" t="str">
        <f>IF(D450="","",IF(COUNTIF(INDEX(CNTR_IOSupplyChain,MATCH(D450,CNTR_IOProcAndPrec,0),),C478)=0,"",INDEX(CNTR_IOProcAndPrec,MATCH(C478,INDEX(CNTR_IOSupplyChain,MATCH(D450,CNTR_IOProcAndPrec,0),),0))))</f>
        <v/>
      </c>
      <c r="E478" s="1423"/>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25">
      <c r="A479" s="92"/>
      <c r="B479" s="94"/>
      <c r="C479" s="978">
        <v>26</v>
      </c>
      <c r="D479" s="1422" t="str">
        <f>IF(D450="","",IF(COUNTIF(INDEX(CNTR_IOSupplyChain,MATCH(D450,CNTR_IOProcAndPrec,0),),C479)=0,"",INDEX(CNTR_IOProcAndPrec,MATCH(C479,INDEX(CNTR_IOSupplyChain,MATCH(D450,CNTR_IOProcAndPrec,0),),0))))</f>
        <v/>
      </c>
      <c r="E479" s="1423"/>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25">
      <c r="A480" s="92"/>
      <c r="B480" s="94"/>
      <c r="C480" s="978">
        <v>27</v>
      </c>
      <c r="D480" s="1422" t="str">
        <f>IF(D450="","",IF(COUNTIF(INDEX(CNTR_IOSupplyChain,MATCH(D450,CNTR_IOProcAndPrec,0),),C480)=0,"",INDEX(CNTR_IOProcAndPrec,MATCH(C480,INDEX(CNTR_IOSupplyChain,MATCH(D450,CNTR_IOProcAndPrec,0),),0))))</f>
        <v/>
      </c>
      <c r="E480" s="1423"/>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25">
      <c r="A481" s="92"/>
      <c r="B481" s="94"/>
      <c r="C481" s="978">
        <v>28</v>
      </c>
      <c r="D481" s="1422" t="str">
        <f>IF(D450="","",IF(COUNTIF(INDEX(CNTR_IOSupplyChain,MATCH(D450,CNTR_IOProcAndPrec,0),),C481)=0,"",INDEX(CNTR_IOProcAndPrec,MATCH(C481,INDEX(CNTR_IOSupplyChain,MATCH(D450,CNTR_IOProcAndPrec,0),),0))))</f>
        <v/>
      </c>
      <c r="E481" s="1423"/>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25">
      <c r="A482" s="92"/>
      <c r="B482" s="94"/>
      <c r="C482" s="978">
        <v>29</v>
      </c>
      <c r="D482" s="1422" t="str">
        <f>IF(D450="","",IF(COUNTIF(INDEX(CNTR_IOSupplyChain,MATCH(D450,CNTR_IOProcAndPrec,0),),C482)=0,"",INDEX(CNTR_IOProcAndPrec,MATCH(C482,INDEX(CNTR_IOSupplyChain,MATCH(D450,CNTR_IOProcAndPrec,0),),0))))</f>
        <v/>
      </c>
      <c r="E482" s="1423"/>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
      <c r="A483" s="92"/>
      <c r="B483" s="94"/>
      <c r="C483" s="978">
        <v>30</v>
      </c>
      <c r="D483" s="1424" t="str">
        <f>IF(D450="","",IF(COUNTIF(INDEX(CNTR_IOSupplyChain,MATCH(D450,CNTR_IOProcAndPrec,0),),C483)=0,"",INDEX(CNTR_IOProcAndPrec,MATCH(C483,INDEX(CNTR_IOSupplyChain,MATCH(D450,CNTR_IOProcAndPrec,0),),0))))</f>
        <v/>
      </c>
      <c r="E483" s="1425"/>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25">
      <c r="A486" s="977"/>
      <c r="B486" s="981"/>
      <c r="C486" s="1415">
        <f>C450+1</f>
        <v>10</v>
      </c>
      <c r="D486" s="1418" t="str">
        <f>IF(INDEX(CNTR_List_ExistProdProcNames,C486)=CONST_NA,"",INDEX(CNTR_List_ExistProdProcNames,C486))</f>
        <v/>
      </c>
      <c r="E486" s="1419"/>
      <c r="F486" s="1426" t="str">
        <f>Translations!$B$107</f>
        <v>Aggregated goods category</v>
      </c>
      <c r="G486" s="250" t="str">
        <f>Translations!$B$584</f>
        <v>Mass share</v>
      </c>
      <c r="H486" s="1428"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8" t="str">
        <f>Translations!$B$594</f>
        <v>Source of electricity EF</v>
      </c>
      <c r="P486" s="250" t="str">
        <f>Translations!$B$480</f>
        <v>Embedded electricity</v>
      </c>
      <c r="Q486" s="1430" t="str">
        <f>Translations!$B$1957</f>
        <v>Country code</v>
      </c>
      <c r="R486" s="1411" t="str">
        <f>Translations!$B$351</f>
        <v>CP due (per produced t or MWh)</v>
      </c>
      <c r="S486" s="1413"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
      <c r="A487" s="977"/>
      <c r="B487" s="981"/>
      <c r="C487" s="1416"/>
      <c r="D487" s="1420"/>
      <c r="E487" s="1421"/>
      <c r="F487" s="1427"/>
      <c r="G487" s="251" t="str">
        <f>IF($F488="",CONST_t,INDEX(CONST_LIST_GoodsUnit,MATCH($F488,CONST_LIST_Goods,0))) &amp;"/"&amp; IF($F488="",CONST_t,INDEX(CONST_LIST_GoodsUnit,MATCH($F488,CONST_LIST_Goods,0)))</f>
        <v>t/t</v>
      </c>
      <c r="H487" s="1429"/>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9"/>
      <c r="P487" s="251" t="str">
        <f>CONST_MWh &amp; "/" &amp; IF($F488="",CONST_t,INDEX(CONST_LIST_GoodsUnit,MATCH($F488,CONST_LIST_Goods,0)))</f>
        <v>MWh/t</v>
      </c>
      <c r="Q487" s="1431"/>
      <c r="R487" s="1412"/>
      <c r="S487" s="1414"/>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
      <c r="A488" s="92"/>
      <c r="B488" s="94"/>
      <c r="C488" s="1417"/>
      <c r="D488" s="1432" t="str">
        <f>Translations!$B$600</f>
        <v>Total production process</v>
      </c>
      <c r="E488" s="1433"/>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
      <c r="A489" s="92"/>
      <c r="B489" s="94"/>
      <c r="C489" s="144"/>
      <c r="D489" s="1434" t="str">
        <f>D486</f>
        <v/>
      </c>
      <c r="E489" s="1435"/>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25">
      <c r="A490" s="92"/>
      <c r="B490" s="94"/>
      <c r="C490" s="978">
        <v>1</v>
      </c>
      <c r="D490" s="1436" t="str">
        <f>IF(D486="","",IF(COUNTIF(INDEX(CNTR_IOSupplyChain,MATCH(D486,CNTR_IOProcAndPrec,0),),C490)=0,"",INDEX(CNTR_IOProcAndPrec,MATCH(C490,INDEX(CNTR_IOSupplyChain,MATCH(D486,CNTR_IOProcAndPrec,0),),0))))</f>
        <v/>
      </c>
      <c r="E490" s="1437"/>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25">
      <c r="A491" s="92"/>
      <c r="B491" s="94"/>
      <c r="C491" s="978">
        <v>2</v>
      </c>
      <c r="D491" s="1422" t="str">
        <f>IF(D486="","",IF(COUNTIF(INDEX(CNTR_IOSupplyChain,MATCH(D486,CNTR_IOProcAndPrec,0),),C491)=0,"",INDEX(CNTR_IOProcAndPrec,MATCH(C491,INDEX(CNTR_IOSupplyChain,MATCH(D486,CNTR_IOProcAndPrec,0),),0))))</f>
        <v/>
      </c>
      <c r="E491" s="1423"/>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25">
      <c r="A492" s="92"/>
      <c r="B492" s="94"/>
      <c r="C492" s="978">
        <v>3</v>
      </c>
      <c r="D492" s="1422" t="str">
        <f>IF(D486="","",IF(COUNTIF(INDEX(CNTR_IOSupplyChain,MATCH(D486,CNTR_IOProcAndPrec,0),),C492)=0,"",INDEX(CNTR_IOProcAndPrec,MATCH(C492,INDEX(CNTR_IOSupplyChain,MATCH(D486,CNTR_IOProcAndPrec,0),),0))))</f>
        <v/>
      </c>
      <c r="E492" s="1423"/>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25">
      <c r="A493" s="92"/>
      <c r="B493" s="94"/>
      <c r="C493" s="978">
        <v>4</v>
      </c>
      <c r="D493" s="1422" t="str">
        <f>IF(D486="","",IF(COUNTIF(INDEX(CNTR_IOSupplyChain,MATCH(D486,CNTR_IOProcAndPrec,0),),C493)=0,"",INDEX(CNTR_IOProcAndPrec,MATCH(C493,INDEX(CNTR_IOSupplyChain,MATCH(D486,CNTR_IOProcAndPrec,0),),0))))</f>
        <v/>
      </c>
      <c r="E493" s="1423"/>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25">
      <c r="A494" s="92"/>
      <c r="B494" s="94"/>
      <c r="C494" s="978">
        <v>5</v>
      </c>
      <c r="D494" s="1422" t="str">
        <f>IF(D486="","",IF(COUNTIF(INDEX(CNTR_IOSupplyChain,MATCH(D486,CNTR_IOProcAndPrec,0),),C494)=0,"",INDEX(CNTR_IOProcAndPrec,MATCH(C494,INDEX(CNTR_IOSupplyChain,MATCH(D486,CNTR_IOProcAndPrec,0),),0))))</f>
        <v/>
      </c>
      <c r="E494" s="1423"/>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25">
      <c r="A495" s="92"/>
      <c r="B495" s="94"/>
      <c r="C495" s="978">
        <v>6</v>
      </c>
      <c r="D495" s="1422" t="str">
        <f>IF(D486="","",IF(COUNTIF(INDEX(CNTR_IOSupplyChain,MATCH(D486,CNTR_IOProcAndPrec,0),),C495)=0,"",INDEX(CNTR_IOProcAndPrec,MATCH(C495,INDEX(CNTR_IOSupplyChain,MATCH(D486,CNTR_IOProcAndPrec,0),),0))))</f>
        <v/>
      </c>
      <c r="E495" s="1423"/>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25">
      <c r="A496" s="92"/>
      <c r="B496" s="94"/>
      <c r="C496" s="978">
        <v>7</v>
      </c>
      <c r="D496" s="1422" t="str">
        <f>IF(D486="","",IF(COUNTIF(INDEX(CNTR_IOSupplyChain,MATCH(D486,CNTR_IOProcAndPrec,0),),C496)=0,"",INDEX(CNTR_IOProcAndPrec,MATCH(C496,INDEX(CNTR_IOSupplyChain,MATCH(D486,CNTR_IOProcAndPrec,0),),0))))</f>
        <v/>
      </c>
      <c r="E496" s="1423"/>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25">
      <c r="A497" s="92"/>
      <c r="B497" s="94"/>
      <c r="C497" s="978">
        <v>8</v>
      </c>
      <c r="D497" s="1422" t="str">
        <f>IF(D486="","",IF(COUNTIF(INDEX(CNTR_IOSupplyChain,MATCH(D486,CNTR_IOProcAndPrec,0),),C497)=0,"",INDEX(CNTR_IOProcAndPrec,MATCH(C497,INDEX(CNTR_IOSupplyChain,MATCH(D486,CNTR_IOProcAndPrec,0),),0))))</f>
        <v/>
      </c>
      <c r="E497" s="1423"/>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25">
      <c r="A498" s="92"/>
      <c r="B498" s="94"/>
      <c r="C498" s="978">
        <v>9</v>
      </c>
      <c r="D498" s="1422" t="str">
        <f>IF(D486="","",IF(COUNTIF(INDEX(CNTR_IOSupplyChain,MATCH(D486,CNTR_IOProcAndPrec,0),),C498)=0,"",INDEX(CNTR_IOProcAndPrec,MATCH(C498,INDEX(CNTR_IOSupplyChain,MATCH(D486,CNTR_IOProcAndPrec,0),),0))))</f>
        <v/>
      </c>
      <c r="E498" s="1423"/>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25">
      <c r="A499" s="92"/>
      <c r="B499" s="94"/>
      <c r="C499" s="978">
        <v>10</v>
      </c>
      <c r="D499" s="1422" t="str">
        <f>IF(D486="","",IF(COUNTIF(INDEX(CNTR_IOSupplyChain,MATCH(D486,CNTR_IOProcAndPrec,0),),C499)=0,"",INDEX(CNTR_IOProcAndPrec,MATCH(C499,INDEX(CNTR_IOSupplyChain,MATCH(D486,CNTR_IOProcAndPrec,0),),0))))</f>
        <v/>
      </c>
      <c r="E499" s="1423"/>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25">
      <c r="A500" s="92"/>
      <c r="B500" s="94"/>
      <c r="C500" s="978">
        <v>11</v>
      </c>
      <c r="D500" s="1422" t="str">
        <f>IF(D486="","",IF(COUNTIF(INDEX(CNTR_IOSupplyChain,MATCH(D486,CNTR_IOProcAndPrec,0),),C500)=0,"",INDEX(CNTR_IOProcAndPrec,MATCH(C500,INDEX(CNTR_IOSupplyChain,MATCH(D486,CNTR_IOProcAndPrec,0),),0))))</f>
        <v/>
      </c>
      <c r="E500" s="1423"/>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25">
      <c r="A501" s="92"/>
      <c r="B501" s="94"/>
      <c r="C501" s="978">
        <v>12</v>
      </c>
      <c r="D501" s="1422" t="str">
        <f>IF(D486="","",IF(COUNTIF(INDEX(CNTR_IOSupplyChain,MATCH(D486,CNTR_IOProcAndPrec,0),),C501)=0,"",INDEX(CNTR_IOProcAndPrec,MATCH(C501,INDEX(CNTR_IOSupplyChain,MATCH(D486,CNTR_IOProcAndPrec,0),),0))))</f>
        <v/>
      </c>
      <c r="E501" s="1423"/>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25">
      <c r="A502" s="92"/>
      <c r="B502" s="94"/>
      <c r="C502" s="978">
        <v>13</v>
      </c>
      <c r="D502" s="1422" t="str">
        <f>IF(D486="","",IF(COUNTIF(INDEX(CNTR_IOSupplyChain,MATCH(D486,CNTR_IOProcAndPrec,0),),C502)=0,"",INDEX(CNTR_IOProcAndPrec,MATCH(C502,INDEX(CNTR_IOSupplyChain,MATCH(D486,CNTR_IOProcAndPrec,0),),0))))</f>
        <v/>
      </c>
      <c r="E502" s="1423"/>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25">
      <c r="A503" s="92"/>
      <c r="B503" s="94"/>
      <c r="C503" s="978">
        <v>14</v>
      </c>
      <c r="D503" s="1422" t="str">
        <f>IF(D486="","",IF(COUNTIF(INDEX(CNTR_IOSupplyChain,MATCH(D486,CNTR_IOProcAndPrec,0),),C503)=0,"",INDEX(CNTR_IOProcAndPrec,MATCH(C503,INDEX(CNTR_IOSupplyChain,MATCH(D486,CNTR_IOProcAndPrec,0),),0))))</f>
        <v/>
      </c>
      <c r="E503" s="1423"/>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25">
      <c r="A504" s="92"/>
      <c r="B504" s="94"/>
      <c r="C504" s="978">
        <v>15</v>
      </c>
      <c r="D504" s="1422" t="str">
        <f>IF(D486="","",IF(COUNTIF(INDEX(CNTR_IOSupplyChain,MATCH(D486,CNTR_IOProcAndPrec,0),),C504)=0,"",INDEX(CNTR_IOProcAndPrec,MATCH(C504,INDEX(CNTR_IOSupplyChain,MATCH(D486,CNTR_IOProcAndPrec,0),),0))))</f>
        <v/>
      </c>
      <c r="E504" s="1423"/>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25">
      <c r="A505" s="92"/>
      <c r="B505" s="94"/>
      <c r="C505" s="978">
        <v>16</v>
      </c>
      <c r="D505" s="1422" t="str">
        <f>IF(D486="","",IF(COUNTIF(INDEX(CNTR_IOSupplyChain,MATCH(D486,CNTR_IOProcAndPrec,0),),C505)=0,"",INDEX(CNTR_IOProcAndPrec,MATCH(C505,INDEX(CNTR_IOSupplyChain,MATCH(D486,CNTR_IOProcAndPrec,0),),0))))</f>
        <v/>
      </c>
      <c r="E505" s="1423"/>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25">
      <c r="A506" s="92"/>
      <c r="B506" s="94"/>
      <c r="C506" s="978">
        <v>17</v>
      </c>
      <c r="D506" s="1422" t="str">
        <f>IF(D486="","",IF(COUNTIF(INDEX(CNTR_IOSupplyChain,MATCH(D486,CNTR_IOProcAndPrec,0),),C506)=0,"",INDEX(CNTR_IOProcAndPrec,MATCH(C506,INDEX(CNTR_IOSupplyChain,MATCH(D486,CNTR_IOProcAndPrec,0),),0))))</f>
        <v/>
      </c>
      <c r="E506" s="1423"/>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25">
      <c r="A507" s="92"/>
      <c r="B507" s="94"/>
      <c r="C507" s="978">
        <v>18</v>
      </c>
      <c r="D507" s="1422" t="str">
        <f>IF(D486="","",IF(COUNTIF(INDEX(CNTR_IOSupplyChain,MATCH(D486,CNTR_IOProcAndPrec,0),),C507)=0,"",INDEX(CNTR_IOProcAndPrec,MATCH(C507,INDEX(CNTR_IOSupplyChain,MATCH(D486,CNTR_IOProcAndPrec,0),),0))))</f>
        <v/>
      </c>
      <c r="E507" s="1423"/>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25">
      <c r="A508" s="92"/>
      <c r="B508" s="94"/>
      <c r="C508" s="978">
        <v>19</v>
      </c>
      <c r="D508" s="1422" t="str">
        <f>IF(D486="","",IF(COUNTIF(INDEX(CNTR_IOSupplyChain,MATCH(D486,CNTR_IOProcAndPrec,0),),C508)=0,"",INDEX(CNTR_IOProcAndPrec,MATCH(C508,INDEX(CNTR_IOSupplyChain,MATCH(D486,CNTR_IOProcAndPrec,0),),0))))</f>
        <v/>
      </c>
      <c r="E508" s="1423"/>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25">
      <c r="A509" s="92"/>
      <c r="B509" s="94"/>
      <c r="C509" s="978">
        <v>20</v>
      </c>
      <c r="D509" s="1422" t="str">
        <f>IF(D486="","",IF(COUNTIF(INDEX(CNTR_IOSupplyChain,MATCH(D486,CNTR_IOProcAndPrec,0),),C509)=0,"",INDEX(CNTR_IOProcAndPrec,MATCH(C509,INDEX(CNTR_IOSupplyChain,MATCH(D486,CNTR_IOProcAndPrec,0),),0))))</f>
        <v/>
      </c>
      <c r="E509" s="1423"/>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25">
      <c r="A510" s="92"/>
      <c r="B510" s="94"/>
      <c r="C510" s="978">
        <v>21</v>
      </c>
      <c r="D510" s="1422" t="str">
        <f>IF(D486="","",IF(COUNTIF(INDEX(CNTR_IOSupplyChain,MATCH(D486,CNTR_IOProcAndPrec,0),),C510)=0,"",INDEX(CNTR_IOProcAndPrec,MATCH(C510,INDEX(CNTR_IOSupplyChain,MATCH(D486,CNTR_IOProcAndPrec,0),),0))))</f>
        <v/>
      </c>
      <c r="E510" s="1423"/>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25">
      <c r="A511" s="92"/>
      <c r="B511" s="94"/>
      <c r="C511" s="978">
        <v>22</v>
      </c>
      <c r="D511" s="1422" t="str">
        <f>IF(D486="","",IF(COUNTIF(INDEX(CNTR_IOSupplyChain,MATCH(D486,CNTR_IOProcAndPrec,0),),C511)=0,"",INDEX(CNTR_IOProcAndPrec,MATCH(C511,INDEX(CNTR_IOSupplyChain,MATCH(D486,CNTR_IOProcAndPrec,0),),0))))</f>
        <v/>
      </c>
      <c r="E511" s="1423"/>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25">
      <c r="A512" s="92"/>
      <c r="B512" s="94"/>
      <c r="C512" s="978">
        <v>23</v>
      </c>
      <c r="D512" s="1422" t="str">
        <f>IF(D486="","",IF(COUNTIF(INDEX(CNTR_IOSupplyChain,MATCH(D486,CNTR_IOProcAndPrec,0),),C512)=0,"",INDEX(CNTR_IOProcAndPrec,MATCH(C512,INDEX(CNTR_IOSupplyChain,MATCH(D486,CNTR_IOProcAndPrec,0),),0))))</f>
        <v/>
      </c>
      <c r="E512" s="1423"/>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25">
      <c r="A513" s="92"/>
      <c r="B513" s="94"/>
      <c r="C513" s="978">
        <v>24</v>
      </c>
      <c r="D513" s="1422" t="str">
        <f>IF(D486="","",IF(COUNTIF(INDEX(CNTR_IOSupplyChain,MATCH(D486,CNTR_IOProcAndPrec,0),),C513)=0,"",INDEX(CNTR_IOProcAndPrec,MATCH(C513,INDEX(CNTR_IOSupplyChain,MATCH(D486,CNTR_IOProcAndPrec,0),),0))))</f>
        <v/>
      </c>
      <c r="E513" s="1423"/>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25">
      <c r="A514" s="92"/>
      <c r="B514" s="94"/>
      <c r="C514" s="978">
        <v>25</v>
      </c>
      <c r="D514" s="1422" t="str">
        <f>IF(D486="","",IF(COUNTIF(INDEX(CNTR_IOSupplyChain,MATCH(D486,CNTR_IOProcAndPrec,0),),C514)=0,"",INDEX(CNTR_IOProcAndPrec,MATCH(C514,INDEX(CNTR_IOSupplyChain,MATCH(D486,CNTR_IOProcAndPrec,0),),0))))</f>
        <v/>
      </c>
      <c r="E514" s="1423"/>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25">
      <c r="A515" s="92"/>
      <c r="B515" s="94"/>
      <c r="C515" s="978">
        <v>26</v>
      </c>
      <c r="D515" s="1422" t="str">
        <f>IF(D486="","",IF(COUNTIF(INDEX(CNTR_IOSupplyChain,MATCH(D486,CNTR_IOProcAndPrec,0),),C515)=0,"",INDEX(CNTR_IOProcAndPrec,MATCH(C515,INDEX(CNTR_IOSupplyChain,MATCH(D486,CNTR_IOProcAndPrec,0),),0))))</f>
        <v/>
      </c>
      <c r="E515" s="1423"/>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25">
      <c r="A516" s="92"/>
      <c r="B516" s="94"/>
      <c r="C516" s="978">
        <v>27</v>
      </c>
      <c r="D516" s="1422" t="str">
        <f>IF(D486="","",IF(COUNTIF(INDEX(CNTR_IOSupplyChain,MATCH(D486,CNTR_IOProcAndPrec,0),),C516)=0,"",INDEX(CNTR_IOProcAndPrec,MATCH(C516,INDEX(CNTR_IOSupplyChain,MATCH(D486,CNTR_IOProcAndPrec,0),),0))))</f>
        <v/>
      </c>
      <c r="E516" s="1423"/>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25">
      <c r="A517" s="92"/>
      <c r="B517" s="94"/>
      <c r="C517" s="978">
        <v>28</v>
      </c>
      <c r="D517" s="1422" t="str">
        <f>IF(D486="","",IF(COUNTIF(INDEX(CNTR_IOSupplyChain,MATCH(D486,CNTR_IOProcAndPrec,0),),C517)=0,"",INDEX(CNTR_IOProcAndPrec,MATCH(C517,INDEX(CNTR_IOSupplyChain,MATCH(D486,CNTR_IOProcAndPrec,0),),0))))</f>
        <v/>
      </c>
      <c r="E517" s="1423"/>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25">
      <c r="A518" s="92"/>
      <c r="B518" s="94"/>
      <c r="C518" s="978">
        <v>29</v>
      </c>
      <c r="D518" s="1422" t="str">
        <f>IF(D486="","",IF(COUNTIF(INDEX(CNTR_IOSupplyChain,MATCH(D486,CNTR_IOProcAndPrec,0),),C518)=0,"",INDEX(CNTR_IOProcAndPrec,MATCH(C518,INDEX(CNTR_IOSupplyChain,MATCH(D486,CNTR_IOProcAndPrec,0),),0))))</f>
        <v/>
      </c>
      <c r="E518" s="1423"/>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
      <c r="A519" s="92"/>
      <c r="B519" s="94"/>
      <c r="C519" s="978">
        <v>30</v>
      </c>
      <c r="D519" s="1424" t="str">
        <f>IF(D486="","",IF(COUNTIF(INDEX(CNTR_IOSupplyChain,MATCH(D486,CNTR_IOProcAndPrec,0),),C519)=0,"",INDEX(CNTR_IOProcAndPrec,MATCH(C519,INDEX(CNTR_IOSupplyChain,MATCH(D486,CNTR_IOProcAndPrec,0),),0))))</f>
        <v/>
      </c>
      <c r="E519" s="1425"/>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25">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25">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2578125" defaultRowHeight="12" x14ac:dyDescent="0.25"/>
  <cols>
    <col min="1" max="1" width="4.7109375" style="275" hidden="1" customWidth="1"/>
    <col min="2" max="2" width="1.7109375" style="241" customWidth="1"/>
    <col min="3" max="3" width="3.7109375" style="241" customWidth="1"/>
    <col min="4" max="5" width="20.7109375" style="241" customWidth="1"/>
    <col min="6" max="6" width="12.7109375" style="241" customWidth="1"/>
    <col min="7" max="7" width="75.7109375" style="241" customWidth="1"/>
    <col min="8" max="8" width="30.7109375" style="241" customWidth="1"/>
    <col min="9" max="53" width="12.7109375" style="241" customWidth="1"/>
    <col min="54" max="54" width="12.7109375" style="241" hidden="1" customWidth="1"/>
    <col min="55" max="67" width="11.42578125" style="275" hidden="1" customWidth="1"/>
    <col min="68" max="16384" width="11.42578125" style="241"/>
  </cols>
  <sheetData>
    <row r="1" spans="1:67" s="275" customFormat="1" ht="12.75" hidden="1" thickBot="1" x14ac:dyDescent="0.3">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
      <c r="B2" s="1166" t="str">
        <f>Translations!$B$465</f>
        <v>Summary of products</v>
      </c>
      <c r="C2" s="1167"/>
      <c r="D2" s="1168"/>
      <c r="E2" s="1175" t="str">
        <f>Translations!$B$11</f>
        <v>Navigation Area:</v>
      </c>
      <c r="F2" s="1176"/>
      <c r="G2" s="893" t="str">
        <f ca="1">HYPERLINK("#"&amp;ADDRESS(2,3,,,a_Contents!$U$2),a_Contents!$B$2)</f>
        <v>Table of contents</v>
      </c>
      <c r="H2" s="893" t="str">
        <f ca="1">HYPERLINK("#"&amp;ADDRESS(MATCH($BD6,G_FurtherGuidance!$S:$S,0),3,,,G_FurtherGuidance!$U$2),G_FurtherGuidance!$B$2)</f>
        <v>Further Guidance</v>
      </c>
      <c r="I2" s="1198" t="str">
        <f ca="1">HYPERLINK("#"&amp;ADDRESS(2,3,,,Summary_Processes!$Y$2),Summary_Processes!$Y$2)</f>
        <v>Summary_Processes</v>
      </c>
      <c r="J2" s="1199"/>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25">
      <c r="B3" s="1169"/>
      <c r="C3" s="1170"/>
      <c r="D3" s="1171"/>
      <c r="E3" s="1165"/>
      <c r="F3" s="1165"/>
      <c r="G3" s="894" t="str">
        <f>IFERROR(HYPERLINK("#"&amp;ADDRESS(ROW($C$1)+MATCH(U3,$C:$C,0)-1,COLUMN($C$1)),INDEX($U:$U,MATCH(U3,$C:$C,0))),"")</f>
        <v/>
      </c>
      <c r="H3" s="894" t="str">
        <f>IFERROR(HYPERLINK("#"&amp;ADDRESS(ROW($C$1)+MATCH(W3,$C:$C,0)-1,COLUMN($C$1)),INDEX($U:$U,MATCH(W3,$C:$C,0))),"")</f>
        <v/>
      </c>
      <c r="I3" s="1457" t="str">
        <f>IFERROR(HYPERLINK("#"&amp;ADDRESS(ROW($C$1)+MATCH(Z3,$C:$C,0)-1,COLUMN($C$1)),INDEX($U:$U,MATCH(Z3,$C:$C,0))),"")</f>
        <v/>
      </c>
      <c r="J3" s="1458"/>
    </row>
    <row r="4" spans="1:67" ht="15.75" customHeight="1" thickBot="1" x14ac:dyDescent="0.3">
      <c r="B4" s="1172"/>
      <c r="C4" s="1173"/>
      <c r="D4" s="1174"/>
      <c r="E4" s="1165"/>
      <c r="F4" s="1165"/>
      <c r="G4" s="894" t="str">
        <f>IFERROR(HYPERLINK("#"&amp;ADDRESS(ROW($C$1)+MATCH(U4,$C:$C,0)-1,COLUMN($C$1)),INDEX($U:$U,MATCH(U4,$C:$C,0))),"")</f>
        <v/>
      </c>
      <c r="H4" s="894" t="str">
        <f>IFERROR(HYPERLINK("#"&amp;ADDRESS(ROW($C$1)+MATCH(W4,$C:$C,0)-1,COLUMN($C$1)),INDEX($U:$U,MATCH(W4,$C:$C,0))),"")</f>
        <v/>
      </c>
      <c r="I4" s="1455" t="str">
        <f>IFERROR(HYPERLINK("#"&amp;ADDRESS(ROW($C$1)+MATCH(Z4,$C:$C,0)-1,COLUMN($C$1)),INDEX($U:$U,MATCH(Z4,$C:$C,0))),"")</f>
        <v/>
      </c>
      <c r="J4" s="1456"/>
    </row>
    <row r="5" spans="1:67" ht="5.0999999999999996" customHeight="1" x14ac:dyDescent="0.25">
      <c r="J5" s="369"/>
    </row>
    <row r="6" spans="1:67" ht="12.75" customHeight="1" x14ac:dyDescent="0.2">
      <c r="D6" s="1289" t="str">
        <f ca="1">HYPERLINK("#"&amp;ADDRESS(MATCH($BD6,G_FurtherGuidance!$S:$S,0),3,,,G_FurtherGuidance!$U$2),CONST_LinkToGuidanceSheet)</f>
        <v>Please click on this link for further guidance on how to complete this section.</v>
      </c>
      <c r="E6" s="1289"/>
      <c r="F6" s="1289"/>
      <c r="G6" s="1289"/>
      <c r="BB6" s="12"/>
      <c r="BC6" s="104" t="s">
        <v>2771</v>
      </c>
      <c r="BD6" s="105">
        <v>5</v>
      </c>
      <c r="BE6" s="276"/>
      <c r="BF6" s="276"/>
      <c r="BG6" s="276"/>
    </row>
    <row r="7" spans="1:67" ht="5.0999999999999996" customHeight="1" x14ac:dyDescent="0.25">
      <c r="AR7" s="754"/>
    </row>
    <row r="8" spans="1:67" s="277" customFormat="1" ht="72" x14ac:dyDescent="0.2">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3" t="str">
        <f>Translations!$B$608</f>
        <v>Embedded emissions covered by the carbon price</v>
      </c>
      <c r="AO8" s="1454"/>
      <c r="AP8" s="1453" t="str">
        <f>Translations!$B$534</f>
        <v>Currency</v>
      </c>
      <c r="AQ8" s="1454"/>
      <c r="AR8" s="1453" t="str">
        <f>Translations!$B$347</f>
        <v>Carbon price (CP) due (per produced t or MWh)</v>
      </c>
      <c r="AS8" s="1454"/>
      <c r="AT8" s="751" t="str">
        <f>Translations!$B$537</f>
        <v>Type of rebate</v>
      </c>
      <c r="AU8" s="751" t="str">
        <f>Translations!$B$539</f>
        <v>Share of embedded emissions covered by the rebate</v>
      </c>
      <c r="AV8" s="1453" t="str">
        <f>Translations!$B$609</f>
        <v>Embedded emissions covered by rebate</v>
      </c>
      <c r="AW8" s="1454"/>
      <c r="AX8" s="1453" t="str">
        <f>Translations!$B$1872</f>
        <v>Amount of rebate (per produced t or MWh)</v>
      </c>
      <c r="AY8" s="1454"/>
      <c r="AZ8" s="1459" t="str">
        <f>Translations!$B$353</f>
        <v>Result: Effective CP due (per produced t or MWh)</v>
      </c>
      <c r="BA8" s="1459"/>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25">
      <c r="B10" s="278"/>
      <c r="C10" s="259">
        <v>1</v>
      </c>
      <c r="D10" s="462"/>
      <c r="E10" s="463" t="str">
        <f t="shared" ref="E10:E39" si="0">IF(D10="","",INDEX(CNTR_List_ExistProdProc,MATCH(D10,CNTR_List_ExistProdProcNames,0)))</f>
        <v/>
      </c>
      <c r="F10" s="732"/>
      <c r="G10" s="464" t="str">
        <f t="shared" ref="G10:G39" si="1">IF(F10="","",INDEX(CNCodes_ListNames,MATCH(F10,CNCodes_ListKey,0)))</f>
        <v/>
      </c>
      <c r="H10" s="462"/>
      <c r="I10" s="261" t="str">
        <f>IF(OR($D10="",$D10=CONST_NA),"",INDEX(InputOutput!$AK$71:$AK$80,MATCH($D10,InputOutput!$D$71:$D$80,0)))</f>
        <v/>
      </c>
      <c r="J10" s="261" t="str">
        <f>IF(OR($D10="",$D10=CONST_NA),"",INDEX(InputOutput!$AM$71:$AM$80,MATCH($D10,InputOutput!$D$71:$D$80,0)))</f>
        <v/>
      </c>
      <c r="K10" s="261" t="str">
        <f t="shared" ref="K10:K41" si="2">IF(OR($D10="",$D10=CONST_NA),"",SUM(I10:J10))</f>
        <v/>
      </c>
      <c r="L10" s="261" t="str">
        <f t="shared" ref="L10:L41" si="3">IF(E10="","",CONST_tCO2eq &amp; "/" &amp; INDEX(CONST_LIST_GoodsUnit,MATCH(E10,CONST_LIST_Goods,0)))</f>
        <v/>
      </c>
      <c r="M10" s="682" t="str">
        <f>IF($E10="","",INDEX(Summary_Processes!$AG$162:$AG$520,MATCH($D10,Summary_Processes!$D$162:$D$520,0)))</f>
        <v/>
      </c>
      <c r="N10" s="261" t="str">
        <f>IF(D10="","",INDEX(D_Processes!T:T,MATCH(CONST_CNTR_ElecEFMethod&amp;D10,D_Processes!R:R,0)))</f>
        <v/>
      </c>
      <c r="O10" s="261" t="str">
        <f>IF(OR($D10="",$D10=CONST_NA),"",INDEX(InputOutput!$AO$71:$AO$80,MATCH($D10,InputOutput!$D$71:$D$80,0)))</f>
        <v/>
      </c>
      <c r="P10" s="465"/>
      <c r="Q10" s="465"/>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t="str">
        <f>IF($K10="","",$K10*AM10)</f>
        <v/>
      </c>
      <c r="AO10" s="458" t="str">
        <f t="shared" ref="AO10:AO41" si="4">L10</f>
        <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t="str">
        <f>IF($K10="","",$K10*AU10)</f>
        <v/>
      </c>
      <c r="AW10" s="458" t="str">
        <f>AO10</f>
        <v/>
      </c>
      <c r="AX10" s="461"/>
      <c r="AY10" s="457" t="str">
        <f>AS10</f>
        <v/>
      </c>
      <c r="AZ10" s="460" t="str">
        <f t="shared" ref="AZ10:AZ41" si="7">IF(K10="","",(AR10-AX10))</f>
        <v/>
      </c>
      <c r="BA10" s="456" t="str">
        <f>AS10</f>
        <v/>
      </c>
      <c r="BD10" s="279" t="str">
        <f t="shared" ref="BD10:BD41" si="8">IF(OR($D10="",$D10=CONST_NA),"",INDEX(CONST_CNTR_ListGoodsForCN,MATCH(E10,CONST_LIST_Goods,0)))</f>
        <v/>
      </c>
      <c r="BI10" s="279" t="str">
        <f t="shared" ref="BI10:BI41" si="9">IF(CNTR_HasEntriesA,IF(AND(D10&lt;&gt;"",COUNTIF(D214:BA214,TRUE)&gt;0),CONST_ErrorOrMissing,IF(AND(D10&lt;&gt;"",COUNTIF(D214:BA214,TRUE)=0),TRUE,CONST_NA)),CONST_NA)</f>
        <v>n.a.</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25">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0</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25">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0</v>
      </c>
      <c r="BI12" s="279" t="str">
        <f t="shared" si="9"/>
        <v>n.a.</v>
      </c>
      <c r="BK12" s="517" t="str">
        <f t="shared" si="10"/>
        <v/>
      </c>
      <c r="BL12" s="517" t="str">
        <f t="shared" si="11"/>
        <v/>
      </c>
      <c r="BM12" s="517" t="str">
        <f t="shared" si="19"/>
        <v/>
      </c>
      <c r="BN12" s="517" t="str">
        <f t="shared" si="12"/>
        <v/>
      </c>
    </row>
    <row r="13" spans="1:67" ht="12.75" customHeight="1" x14ac:dyDescent="0.25">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0</v>
      </c>
      <c r="BI13" s="279" t="str">
        <f t="shared" si="9"/>
        <v>n.a.</v>
      </c>
      <c r="BK13" s="517" t="str">
        <f t="shared" si="10"/>
        <v/>
      </c>
      <c r="BL13" s="517" t="str">
        <f t="shared" si="11"/>
        <v/>
      </c>
      <c r="BM13" s="517" t="str">
        <f t="shared" si="19"/>
        <v/>
      </c>
      <c r="BN13" s="517" t="str">
        <f t="shared" si="12"/>
        <v/>
      </c>
    </row>
    <row r="14" spans="1:67" ht="12.75" customHeight="1" x14ac:dyDescent="0.25">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0</v>
      </c>
      <c r="BI14" s="279" t="str">
        <f t="shared" si="9"/>
        <v>n.a.</v>
      </c>
      <c r="BK14" s="517" t="str">
        <f t="shared" si="10"/>
        <v/>
      </c>
      <c r="BL14" s="517" t="str">
        <f t="shared" si="11"/>
        <v/>
      </c>
      <c r="BM14" s="517" t="str">
        <f t="shared" si="19"/>
        <v/>
      </c>
      <c r="BN14" s="517" t="str">
        <f t="shared" si="12"/>
        <v/>
      </c>
    </row>
    <row r="15" spans="1:67" ht="12.75" customHeight="1" x14ac:dyDescent="0.25">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0</v>
      </c>
      <c r="BI15" s="279" t="str">
        <f t="shared" si="9"/>
        <v>n.a.</v>
      </c>
      <c r="BK15" s="517" t="str">
        <f t="shared" si="10"/>
        <v/>
      </c>
      <c r="BL15" s="517" t="str">
        <f t="shared" si="11"/>
        <v/>
      </c>
      <c r="BM15" s="517" t="str">
        <f t="shared" si="19"/>
        <v/>
      </c>
      <c r="BN15" s="517" t="str">
        <f t="shared" si="12"/>
        <v/>
      </c>
    </row>
    <row r="16" spans="1:67" ht="12.75" customHeight="1" x14ac:dyDescent="0.25">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0</v>
      </c>
      <c r="BI16" s="279" t="str">
        <f t="shared" si="9"/>
        <v>n.a.</v>
      </c>
      <c r="BK16" s="517" t="str">
        <f t="shared" si="10"/>
        <v/>
      </c>
      <c r="BL16" s="517" t="str">
        <f t="shared" si="11"/>
        <v/>
      </c>
      <c r="BM16" s="517" t="str">
        <f t="shared" si="19"/>
        <v/>
      </c>
      <c r="BN16" s="517" t="str">
        <f t="shared" si="12"/>
        <v/>
      </c>
    </row>
    <row r="17" spans="2:66" ht="12.75" customHeight="1" x14ac:dyDescent="0.25">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0</v>
      </c>
      <c r="BI17" s="279" t="str">
        <f t="shared" si="9"/>
        <v>n.a.</v>
      </c>
      <c r="BK17" s="517" t="str">
        <f t="shared" si="10"/>
        <v/>
      </c>
      <c r="BL17" s="517" t="str">
        <f t="shared" si="11"/>
        <v/>
      </c>
      <c r="BM17" s="517" t="str">
        <f t="shared" si="19"/>
        <v/>
      </c>
      <c r="BN17" s="517" t="str">
        <f t="shared" si="12"/>
        <v/>
      </c>
    </row>
    <row r="18" spans="2:66" ht="12.75" customHeight="1" x14ac:dyDescent="0.25">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0</v>
      </c>
      <c r="BI18" s="279" t="str">
        <f t="shared" si="9"/>
        <v>n.a.</v>
      </c>
      <c r="BK18" s="517" t="str">
        <f t="shared" si="10"/>
        <v/>
      </c>
      <c r="BL18" s="517" t="str">
        <f t="shared" si="11"/>
        <v/>
      </c>
      <c r="BM18" s="517" t="str">
        <f t="shared" si="19"/>
        <v/>
      </c>
      <c r="BN18" s="517" t="str">
        <f t="shared" si="12"/>
        <v/>
      </c>
    </row>
    <row r="19" spans="2:66" ht="12.75" customHeight="1" x14ac:dyDescent="0.25">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0</v>
      </c>
      <c r="BI19" s="279" t="str">
        <f t="shared" si="9"/>
        <v>n.a.</v>
      </c>
      <c r="BK19" s="517" t="str">
        <f t="shared" si="10"/>
        <v/>
      </c>
      <c r="BL19" s="517" t="str">
        <f t="shared" si="11"/>
        <v/>
      </c>
      <c r="BM19" s="517" t="str">
        <f t="shared" si="19"/>
        <v/>
      </c>
      <c r="BN19" s="517" t="str">
        <f t="shared" si="12"/>
        <v/>
      </c>
    </row>
    <row r="20" spans="2:66" ht="12.75" customHeight="1" x14ac:dyDescent="0.25">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0</v>
      </c>
      <c r="BI20" s="279" t="str">
        <f t="shared" si="9"/>
        <v>n.a.</v>
      </c>
      <c r="BK20" s="517" t="str">
        <f t="shared" si="10"/>
        <v/>
      </c>
      <c r="BL20" s="517" t="str">
        <f t="shared" si="11"/>
        <v/>
      </c>
      <c r="BM20" s="517" t="str">
        <f t="shared" si="19"/>
        <v/>
      </c>
      <c r="BN20" s="517" t="str">
        <f t="shared" si="12"/>
        <v/>
      </c>
    </row>
    <row r="21" spans="2:66" ht="12.75" customHeight="1" x14ac:dyDescent="0.25">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0</v>
      </c>
      <c r="BI21" s="279" t="str">
        <f t="shared" si="9"/>
        <v>n.a.</v>
      </c>
      <c r="BK21" s="517" t="str">
        <f t="shared" si="10"/>
        <v/>
      </c>
      <c r="BL21" s="517" t="str">
        <f t="shared" si="11"/>
        <v/>
      </c>
      <c r="BM21" s="517" t="str">
        <f t="shared" si="19"/>
        <v/>
      </c>
      <c r="BN21" s="517" t="str">
        <f t="shared" si="12"/>
        <v/>
      </c>
    </row>
    <row r="22" spans="2:66" ht="12.75" customHeight="1" x14ac:dyDescent="0.25">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0</v>
      </c>
      <c r="BI22" s="279" t="str">
        <f t="shared" si="9"/>
        <v>n.a.</v>
      </c>
      <c r="BK22" s="517" t="str">
        <f t="shared" si="10"/>
        <v/>
      </c>
      <c r="BL22" s="517" t="str">
        <f t="shared" si="11"/>
        <v/>
      </c>
      <c r="BM22" s="517" t="str">
        <f t="shared" si="19"/>
        <v/>
      </c>
      <c r="BN22" s="517" t="str">
        <f t="shared" si="12"/>
        <v/>
      </c>
    </row>
    <row r="23" spans="2:66" ht="12.75" customHeight="1" x14ac:dyDescent="0.25">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0</v>
      </c>
      <c r="BI23" s="279" t="str">
        <f t="shared" si="9"/>
        <v>n.a.</v>
      </c>
      <c r="BK23" s="517" t="str">
        <f t="shared" si="10"/>
        <v/>
      </c>
      <c r="BL23" s="517" t="str">
        <f t="shared" si="11"/>
        <v/>
      </c>
      <c r="BM23" s="517" t="str">
        <f t="shared" si="19"/>
        <v/>
      </c>
      <c r="BN23" s="517" t="str">
        <f t="shared" si="12"/>
        <v/>
      </c>
    </row>
    <row r="24" spans="2:66" ht="12.75" customHeight="1" x14ac:dyDescent="0.25">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0</v>
      </c>
      <c r="BI24" s="279" t="str">
        <f t="shared" si="9"/>
        <v>n.a.</v>
      </c>
      <c r="BK24" s="517" t="str">
        <f t="shared" si="10"/>
        <v/>
      </c>
      <c r="BL24" s="517" t="str">
        <f t="shared" si="11"/>
        <v/>
      </c>
      <c r="BM24" s="517" t="str">
        <f t="shared" si="19"/>
        <v/>
      </c>
      <c r="BN24" s="517" t="str">
        <f t="shared" si="12"/>
        <v/>
      </c>
    </row>
    <row r="25" spans="2:66" ht="12.75" customHeight="1" x14ac:dyDescent="0.25">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0</v>
      </c>
      <c r="BI25" s="279" t="str">
        <f t="shared" si="9"/>
        <v>n.a.</v>
      </c>
      <c r="BK25" s="517" t="str">
        <f t="shared" si="10"/>
        <v/>
      </c>
      <c r="BL25" s="517" t="str">
        <f t="shared" si="11"/>
        <v/>
      </c>
      <c r="BM25" s="517" t="str">
        <f t="shared" si="19"/>
        <v/>
      </c>
      <c r="BN25" s="517" t="str">
        <f t="shared" si="12"/>
        <v/>
      </c>
    </row>
    <row r="26" spans="2:66" ht="12.75" customHeight="1" x14ac:dyDescent="0.25">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0</v>
      </c>
      <c r="BI26" s="279" t="str">
        <f t="shared" si="9"/>
        <v>n.a.</v>
      </c>
      <c r="BK26" s="517" t="str">
        <f t="shared" si="10"/>
        <v/>
      </c>
      <c r="BL26" s="517" t="str">
        <f t="shared" si="11"/>
        <v/>
      </c>
      <c r="BM26" s="517" t="str">
        <f t="shared" si="19"/>
        <v/>
      </c>
      <c r="BN26" s="517" t="str">
        <f t="shared" si="12"/>
        <v/>
      </c>
    </row>
    <row r="27" spans="2:66" ht="12.75" customHeight="1" x14ac:dyDescent="0.25">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0</v>
      </c>
      <c r="BI27" s="279" t="str">
        <f t="shared" si="9"/>
        <v>n.a.</v>
      </c>
      <c r="BK27" s="517" t="str">
        <f t="shared" si="10"/>
        <v/>
      </c>
      <c r="BL27" s="517" t="str">
        <f t="shared" si="11"/>
        <v/>
      </c>
      <c r="BM27" s="517" t="str">
        <f t="shared" si="19"/>
        <v/>
      </c>
      <c r="BN27" s="517" t="str">
        <f t="shared" si="12"/>
        <v/>
      </c>
    </row>
    <row r="28" spans="2:66" ht="12.75" customHeight="1" x14ac:dyDescent="0.25">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0</v>
      </c>
      <c r="BI28" s="279" t="str">
        <f t="shared" si="9"/>
        <v>n.a.</v>
      </c>
      <c r="BK28" s="517" t="str">
        <f t="shared" si="10"/>
        <v/>
      </c>
      <c r="BL28" s="517" t="str">
        <f t="shared" si="11"/>
        <v/>
      </c>
      <c r="BM28" s="517" t="str">
        <f t="shared" si="19"/>
        <v/>
      </c>
      <c r="BN28" s="517" t="str">
        <f t="shared" si="12"/>
        <v/>
      </c>
    </row>
    <row r="29" spans="2:66" ht="12.75" customHeight="1" x14ac:dyDescent="0.25">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0</v>
      </c>
      <c r="BI29" s="279" t="str">
        <f t="shared" si="9"/>
        <v>n.a.</v>
      </c>
      <c r="BK29" s="517" t="str">
        <f t="shared" si="10"/>
        <v/>
      </c>
      <c r="BL29" s="517" t="str">
        <f t="shared" si="11"/>
        <v/>
      </c>
      <c r="BM29" s="517" t="str">
        <f t="shared" si="19"/>
        <v/>
      </c>
      <c r="BN29" s="517" t="str">
        <f t="shared" si="12"/>
        <v/>
      </c>
    </row>
    <row r="30" spans="2:66" ht="12.75" customHeight="1" x14ac:dyDescent="0.25">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0</v>
      </c>
      <c r="BI30" s="279" t="str">
        <f t="shared" si="9"/>
        <v>n.a.</v>
      </c>
      <c r="BK30" s="517" t="str">
        <f t="shared" si="10"/>
        <v/>
      </c>
      <c r="BL30" s="517" t="str">
        <f t="shared" si="11"/>
        <v/>
      </c>
      <c r="BM30" s="517" t="str">
        <f t="shared" si="19"/>
        <v/>
      </c>
      <c r="BN30" s="517" t="str">
        <f t="shared" si="12"/>
        <v/>
      </c>
    </row>
    <row r="31" spans="2:66" ht="12.75" customHeight="1" x14ac:dyDescent="0.25">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0</v>
      </c>
      <c r="BI31" s="279" t="str">
        <f t="shared" si="9"/>
        <v>n.a.</v>
      </c>
      <c r="BK31" s="517" t="str">
        <f t="shared" si="10"/>
        <v/>
      </c>
      <c r="BL31" s="517" t="str">
        <f t="shared" si="11"/>
        <v/>
      </c>
      <c r="BM31" s="517" t="str">
        <f t="shared" si="19"/>
        <v/>
      </c>
      <c r="BN31" s="517" t="str">
        <f t="shared" si="12"/>
        <v/>
      </c>
    </row>
    <row r="32" spans="2:66" ht="12.75" customHeight="1" x14ac:dyDescent="0.25">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0</v>
      </c>
      <c r="BI32" s="279" t="str">
        <f t="shared" si="9"/>
        <v>n.a.</v>
      </c>
      <c r="BK32" s="517" t="str">
        <f t="shared" si="10"/>
        <v/>
      </c>
      <c r="BL32" s="517" t="str">
        <f t="shared" si="11"/>
        <v/>
      </c>
      <c r="BM32" s="517" t="str">
        <f t="shared" si="19"/>
        <v/>
      </c>
      <c r="BN32" s="517" t="str">
        <f t="shared" si="12"/>
        <v/>
      </c>
    </row>
    <row r="33" spans="2:66" ht="12.75" customHeight="1" x14ac:dyDescent="0.25">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0</v>
      </c>
      <c r="BI33" s="279" t="str">
        <f t="shared" si="9"/>
        <v>n.a.</v>
      </c>
      <c r="BK33" s="517" t="str">
        <f t="shared" si="10"/>
        <v/>
      </c>
      <c r="BL33" s="517" t="str">
        <f t="shared" si="11"/>
        <v/>
      </c>
      <c r="BM33" s="517" t="str">
        <f t="shared" si="19"/>
        <v/>
      </c>
      <c r="BN33" s="517" t="str">
        <f t="shared" si="12"/>
        <v/>
      </c>
    </row>
    <row r="34" spans="2:66" ht="12.75" customHeight="1" x14ac:dyDescent="0.25">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0</v>
      </c>
      <c r="BI34" s="279" t="str">
        <f t="shared" si="9"/>
        <v>n.a.</v>
      </c>
      <c r="BK34" s="517" t="str">
        <f t="shared" si="10"/>
        <v/>
      </c>
      <c r="BL34" s="517" t="str">
        <f t="shared" si="11"/>
        <v/>
      </c>
      <c r="BM34" s="517" t="str">
        <f t="shared" si="19"/>
        <v/>
      </c>
      <c r="BN34" s="517" t="str">
        <f t="shared" si="12"/>
        <v/>
      </c>
    </row>
    <row r="35" spans="2:66" ht="12.75" customHeight="1" x14ac:dyDescent="0.25">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0</v>
      </c>
      <c r="BI35" s="279" t="str">
        <f t="shared" si="9"/>
        <v>n.a.</v>
      </c>
      <c r="BK35" s="517" t="str">
        <f t="shared" si="10"/>
        <v/>
      </c>
      <c r="BL35" s="517" t="str">
        <f t="shared" si="11"/>
        <v/>
      </c>
      <c r="BM35" s="517" t="str">
        <f t="shared" si="19"/>
        <v/>
      </c>
      <c r="BN35" s="517" t="str">
        <f t="shared" si="12"/>
        <v/>
      </c>
    </row>
    <row r="36" spans="2:66" ht="12.75" customHeight="1" x14ac:dyDescent="0.25">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0</v>
      </c>
      <c r="BI36" s="279" t="str">
        <f t="shared" si="9"/>
        <v>n.a.</v>
      </c>
      <c r="BK36" s="517" t="str">
        <f t="shared" si="10"/>
        <v/>
      </c>
      <c r="BL36" s="517" t="str">
        <f t="shared" si="11"/>
        <v/>
      </c>
      <c r="BM36" s="517" t="str">
        <f t="shared" si="19"/>
        <v/>
      </c>
      <c r="BN36" s="517" t="str">
        <f t="shared" si="12"/>
        <v/>
      </c>
    </row>
    <row r="37" spans="2:66" ht="12.75" customHeight="1" x14ac:dyDescent="0.25">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0</v>
      </c>
      <c r="BI37" s="279" t="str">
        <f t="shared" si="9"/>
        <v>n.a.</v>
      </c>
      <c r="BK37" s="517" t="str">
        <f t="shared" si="10"/>
        <v/>
      </c>
      <c r="BL37" s="517" t="str">
        <f t="shared" si="11"/>
        <v/>
      </c>
      <c r="BM37" s="517" t="str">
        <f t="shared" si="19"/>
        <v/>
      </c>
      <c r="BN37" s="517" t="str">
        <f t="shared" si="12"/>
        <v/>
      </c>
    </row>
    <row r="38" spans="2:66" ht="12.75" customHeight="1" x14ac:dyDescent="0.25">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0</v>
      </c>
      <c r="BI38" s="279" t="str">
        <f t="shared" si="9"/>
        <v>n.a.</v>
      </c>
      <c r="BK38" s="517" t="str">
        <f t="shared" si="10"/>
        <v/>
      </c>
      <c r="BL38" s="517" t="str">
        <f t="shared" si="11"/>
        <v/>
      </c>
      <c r="BM38" s="517" t="str">
        <f t="shared" si="19"/>
        <v/>
      </c>
      <c r="BN38" s="517" t="str">
        <f t="shared" si="12"/>
        <v/>
      </c>
    </row>
    <row r="39" spans="2:66" ht="12.75" customHeight="1" x14ac:dyDescent="0.25">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0</v>
      </c>
      <c r="BI39" s="279" t="str">
        <f t="shared" si="9"/>
        <v>n.a.</v>
      </c>
      <c r="BK39" s="517" t="str">
        <f t="shared" si="10"/>
        <v/>
      </c>
      <c r="BL39" s="517" t="str">
        <f t="shared" si="11"/>
        <v/>
      </c>
      <c r="BM39" s="517" t="str">
        <f t="shared" si="19"/>
        <v/>
      </c>
      <c r="BN39" s="517" t="str">
        <f t="shared" si="12"/>
        <v/>
      </c>
    </row>
    <row r="40" spans="2:66" ht="12.75" x14ac:dyDescent="0.25">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0</v>
      </c>
      <c r="BI40" s="279" t="str">
        <f t="shared" si="9"/>
        <v>n.a.</v>
      </c>
      <c r="BK40" s="517" t="str">
        <f t="shared" si="10"/>
        <v/>
      </c>
      <c r="BL40" s="517" t="str">
        <f t="shared" si="11"/>
        <v/>
      </c>
      <c r="BM40" s="517" t="str">
        <f t="shared" si="19"/>
        <v/>
      </c>
      <c r="BN40" s="517" t="str">
        <f t="shared" si="12"/>
        <v/>
      </c>
    </row>
    <row r="41" spans="2:66" ht="12.75" x14ac:dyDescent="0.25">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0</v>
      </c>
      <c r="BI41" s="279" t="str">
        <f t="shared" si="9"/>
        <v>n.a.</v>
      </c>
      <c r="BK41" s="517" t="str">
        <f t="shared" si="10"/>
        <v/>
      </c>
      <c r="BL41" s="517" t="str">
        <f t="shared" si="11"/>
        <v/>
      </c>
      <c r="BM41" s="517" t="str">
        <f t="shared" si="19"/>
        <v/>
      </c>
      <c r="BN41" s="517" t="str">
        <f t="shared" si="12"/>
        <v/>
      </c>
    </row>
    <row r="42" spans="2:66" ht="12.75" x14ac:dyDescent="0.25">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0</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2.75" x14ac:dyDescent="0.25">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0</v>
      </c>
      <c r="BI43" s="279" t="str">
        <f t="shared" si="29"/>
        <v>n.a.</v>
      </c>
      <c r="BK43" s="517" t="str">
        <f t="shared" si="30"/>
        <v/>
      </c>
      <c r="BL43" s="517" t="str">
        <f t="shared" si="31"/>
        <v/>
      </c>
      <c r="BM43" s="517" t="str">
        <f t="shared" si="32"/>
        <v/>
      </c>
      <c r="BN43" s="517" t="str">
        <f t="shared" si="33"/>
        <v/>
      </c>
    </row>
    <row r="44" spans="2:66" ht="12.75" x14ac:dyDescent="0.25">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0</v>
      </c>
      <c r="BI44" s="279" t="str">
        <f t="shared" si="29"/>
        <v>n.a.</v>
      </c>
      <c r="BK44" s="517" t="str">
        <f t="shared" si="30"/>
        <v/>
      </c>
      <c r="BL44" s="517" t="str">
        <f t="shared" si="31"/>
        <v/>
      </c>
      <c r="BM44" s="517" t="str">
        <f t="shared" si="32"/>
        <v/>
      </c>
      <c r="BN44" s="517" t="str">
        <f t="shared" si="33"/>
        <v/>
      </c>
    </row>
    <row r="45" spans="2:66" ht="12.75" x14ac:dyDescent="0.25">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0</v>
      </c>
      <c r="BI45" s="279" t="str">
        <f t="shared" si="29"/>
        <v>n.a.</v>
      </c>
      <c r="BK45" s="517" t="str">
        <f t="shared" si="30"/>
        <v/>
      </c>
      <c r="BL45" s="517" t="str">
        <f t="shared" si="31"/>
        <v/>
      </c>
      <c r="BM45" s="517" t="str">
        <f t="shared" si="32"/>
        <v/>
      </c>
      <c r="BN45" s="517" t="str">
        <f t="shared" si="33"/>
        <v/>
      </c>
    </row>
    <row r="46" spans="2:66" ht="12.75" x14ac:dyDescent="0.25">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0</v>
      </c>
      <c r="BI46" s="279" t="str">
        <f t="shared" si="29"/>
        <v>n.a.</v>
      </c>
      <c r="BK46" s="517" t="str">
        <f t="shared" si="30"/>
        <v/>
      </c>
      <c r="BL46" s="517" t="str">
        <f t="shared" si="31"/>
        <v/>
      </c>
      <c r="BM46" s="517" t="str">
        <f t="shared" si="32"/>
        <v/>
      </c>
      <c r="BN46" s="517" t="str">
        <f t="shared" si="33"/>
        <v/>
      </c>
    </row>
    <row r="47" spans="2:66" ht="12.75" x14ac:dyDescent="0.25">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0</v>
      </c>
      <c r="BI47" s="279" t="str">
        <f t="shared" si="29"/>
        <v>n.a.</v>
      </c>
      <c r="BK47" s="517" t="str">
        <f t="shared" si="30"/>
        <v/>
      </c>
      <c r="BL47" s="517" t="str">
        <f t="shared" si="31"/>
        <v/>
      </c>
      <c r="BM47" s="517" t="str">
        <f t="shared" si="32"/>
        <v/>
      </c>
      <c r="BN47" s="517" t="str">
        <f t="shared" si="33"/>
        <v/>
      </c>
    </row>
    <row r="48" spans="2:66" ht="12.75" x14ac:dyDescent="0.25">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0</v>
      </c>
      <c r="BI48" s="279" t="str">
        <f t="shared" si="29"/>
        <v>n.a.</v>
      </c>
      <c r="BK48" s="517" t="str">
        <f t="shared" si="30"/>
        <v/>
      </c>
      <c r="BL48" s="517" t="str">
        <f t="shared" si="31"/>
        <v/>
      </c>
      <c r="BM48" s="517" t="str">
        <f t="shared" si="32"/>
        <v/>
      </c>
      <c r="BN48" s="517" t="str">
        <f t="shared" si="33"/>
        <v/>
      </c>
    </row>
    <row r="49" spans="2:66" ht="12.75" x14ac:dyDescent="0.25">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0</v>
      </c>
      <c r="BI49" s="279" t="str">
        <f t="shared" si="29"/>
        <v>n.a.</v>
      </c>
      <c r="BK49" s="517" t="str">
        <f t="shared" si="30"/>
        <v/>
      </c>
      <c r="BL49" s="517" t="str">
        <f t="shared" si="31"/>
        <v/>
      </c>
      <c r="BM49" s="517" t="str">
        <f t="shared" si="32"/>
        <v/>
      </c>
      <c r="BN49" s="517" t="str">
        <f t="shared" si="33"/>
        <v/>
      </c>
    </row>
    <row r="50" spans="2:66" ht="12.75" x14ac:dyDescent="0.25">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0</v>
      </c>
      <c r="BI50" s="279" t="str">
        <f t="shared" si="29"/>
        <v>n.a.</v>
      </c>
      <c r="BK50" s="517" t="str">
        <f t="shared" si="30"/>
        <v/>
      </c>
      <c r="BL50" s="517" t="str">
        <f t="shared" si="31"/>
        <v/>
      </c>
      <c r="BM50" s="517" t="str">
        <f t="shared" si="32"/>
        <v/>
      </c>
      <c r="BN50" s="517" t="str">
        <f t="shared" si="33"/>
        <v/>
      </c>
    </row>
    <row r="51" spans="2:66" ht="12.75" x14ac:dyDescent="0.25">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0</v>
      </c>
      <c r="BI51" s="279" t="str">
        <f t="shared" si="29"/>
        <v>n.a.</v>
      </c>
      <c r="BK51" s="517" t="str">
        <f t="shared" si="30"/>
        <v/>
      </c>
      <c r="BL51" s="517" t="str">
        <f t="shared" si="31"/>
        <v/>
      </c>
      <c r="BM51" s="517" t="str">
        <f t="shared" si="32"/>
        <v/>
      </c>
      <c r="BN51" s="517" t="str">
        <f t="shared" si="33"/>
        <v/>
      </c>
    </row>
    <row r="52" spans="2:66" ht="12.75" x14ac:dyDescent="0.25">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0</v>
      </c>
      <c r="BI52" s="279" t="str">
        <f t="shared" si="29"/>
        <v>n.a.</v>
      </c>
      <c r="BK52" s="517" t="str">
        <f t="shared" si="30"/>
        <v/>
      </c>
      <c r="BL52" s="517" t="str">
        <f t="shared" si="31"/>
        <v/>
      </c>
      <c r="BM52" s="517" t="str">
        <f t="shared" si="32"/>
        <v/>
      </c>
      <c r="BN52" s="517" t="str">
        <f t="shared" si="33"/>
        <v/>
      </c>
    </row>
    <row r="53" spans="2:66" ht="12.75" x14ac:dyDescent="0.25">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0</v>
      </c>
      <c r="BI53" s="279" t="str">
        <f t="shared" si="29"/>
        <v>n.a.</v>
      </c>
      <c r="BK53" s="517" t="str">
        <f t="shared" si="30"/>
        <v/>
      </c>
      <c r="BL53" s="517" t="str">
        <f t="shared" si="31"/>
        <v/>
      </c>
      <c r="BM53" s="517" t="str">
        <f t="shared" si="32"/>
        <v/>
      </c>
      <c r="BN53" s="517" t="str">
        <f t="shared" si="33"/>
        <v/>
      </c>
    </row>
    <row r="54" spans="2:66" ht="12.75" x14ac:dyDescent="0.25">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0</v>
      </c>
      <c r="BI54" s="279" t="str">
        <f t="shared" si="29"/>
        <v>n.a.</v>
      </c>
      <c r="BK54" s="517" t="str">
        <f t="shared" si="30"/>
        <v/>
      </c>
      <c r="BL54" s="517" t="str">
        <f t="shared" si="31"/>
        <v/>
      </c>
      <c r="BM54" s="517" t="str">
        <f t="shared" si="32"/>
        <v/>
      </c>
      <c r="BN54" s="517" t="str">
        <f t="shared" si="33"/>
        <v/>
      </c>
    </row>
    <row r="55" spans="2:66" ht="12.75" x14ac:dyDescent="0.25">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0</v>
      </c>
      <c r="BI55" s="279" t="str">
        <f t="shared" si="29"/>
        <v>n.a.</v>
      </c>
      <c r="BK55" s="517" t="str">
        <f t="shared" si="30"/>
        <v/>
      </c>
      <c r="BL55" s="517" t="str">
        <f t="shared" si="31"/>
        <v/>
      </c>
      <c r="BM55" s="517" t="str">
        <f t="shared" si="32"/>
        <v/>
      </c>
      <c r="BN55" s="517" t="str">
        <f t="shared" si="33"/>
        <v/>
      </c>
    </row>
    <row r="56" spans="2:66" ht="12.75" x14ac:dyDescent="0.25">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0</v>
      </c>
      <c r="BI56" s="279" t="str">
        <f t="shared" si="29"/>
        <v>n.a.</v>
      </c>
      <c r="BK56" s="517" t="str">
        <f t="shared" si="30"/>
        <v/>
      </c>
      <c r="BL56" s="517" t="str">
        <f t="shared" si="31"/>
        <v/>
      </c>
      <c r="BM56" s="517" t="str">
        <f t="shared" si="32"/>
        <v/>
      </c>
      <c r="BN56" s="517" t="str">
        <f t="shared" si="33"/>
        <v/>
      </c>
    </row>
    <row r="57" spans="2:66" ht="12.75" x14ac:dyDescent="0.25">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0</v>
      </c>
      <c r="BI57" s="279" t="str">
        <f t="shared" si="29"/>
        <v>n.a.</v>
      </c>
      <c r="BK57" s="517" t="str">
        <f t="shared" si="30"/>
        <v/>
      </c>
      <c r="BL57" s="517" t="str">
        <f t="shared" si="31"/>
        <v/>
      </c>
      <c r="BM57" s="517" t="str">
        <f t="shared" si="32"/>
        <v/>
      </c>
      <c r="BN57" s="517" t="str">
        <f t="shared" si="33"/>
        <v/>
      </c>
    </row>
    <row r="58" spans="2:66" ht="12.75" x14ac:dyDescent="0.25">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0</v>
      </c>
      <c r="BI58" s="279" t="str">
        <f t="shared" si="29"/>
        <v>n.a.</v>
      </c>
      <c r="BK58" s="517" t="str">
        <f t="shared" si="30"/>
        <v/>
      </c>
      <c r="BL58" s="517" t="str">
        <f t="shared" si="31"/>
        <v/>
      </c>
      <c r="BM58" s="517" t="str">
        <f t="shared" si="32"/>
        <v/>
      </c>
      <c r="BN58" s="517" t="str">
        <f t="shared" si="33"/>
        <v/>
      </c>
    </row>
    <row r="59" spans="2:66" ht="12.75" x14ac:dyDescent="0.25">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0</v>
      </c>
      <c r="BI59" s="279" t="str">
        <f t="shared" si="29"/>
        <v>n.a.</v>
      </c>
      <c r="BK59" s="517" t="str">
        <f t="shared" si="30"/>
        <v/>
      </c>
      <c r="BL59" s="517" t="str">
        <f t="shared" si="31"/>
        <v/>
      </c>
      <c r="BM59" s="517" t="str">
        <f t="shared" si="32"/>
        <v/>
      </c>
      <c r="BN59" s="517" t="str">
        <f t="shared" si="33"/>
        <v/>
      </c>
    </row>
    <row r="60" spans="2:66" ht="12.75" x14ac:dyDescent="0.25">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0</v>
      </c>
      <c r="BI60" s="279" t="str">
        <f t="shared" si="29"/>
        <v>n.a.</v>
      </c>
      <c r="BK60" s="517" t="str">
        <f t="shared" si="30"/>
        <v/>
      </c>
      <c r="BL60" s="517" t="str">
        <f t="shared" si="31"/>
        <v/>
      </c>
      <c r="BM60" s="517" t="str">
        <f t="shared" si="32"/>
        <v/>
      </c>
      <c r="BN60" s="517" t="str">
        <f t="shared" si="33"/>
        <v/>
      </c>
    </row>
    <row r="61" spans="2:66" ht="12.75" x14ac:dyDescent="0.25">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0</v>
      </c>
      <c r="BI61" s="279" t="str">
        <f t="shared" si="29"/>
        <v>n.a.</v>
      </c>
      <c r="BK61" s="517" t="str">
        <f t="shared" si="30"/>
        <v/>
      </c>
      <c r="BL61" s="517" t="str">
        <f t="shared" si="31"/>
        <v/>
      </c>
      <c r="BM61" s="517" t="str">
        <f t="shared" si="32"/>
        <v/>
      </c>
      <c r="BN61" s="517" t="str">
        <f t="shared" si="33"/>
        <v/>
      </c>
    </row>
    <row r="62" spans="2:66" ht="12.75" x14ac:dyDescent="0.25">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0</v>
      </c>
      <c r="BI62" s="279" t="str">
        <f t="shared" si="29"/>
        <v>n.a.</v>
      </c>
      <c r="BK62" s="517" t="str">
        <f t="shared" si="30"/>
        <v/>
      </c>
      <c r="BL62" s="517" t="str">
        <f t="shared" si="31"/>
        <v/>
      </c>
      <c r="BM62" s="517" t="str">
        <f t="shared" si="32"/>
        <v/>
      </c>
      <c r="BN62" s="517" t="str">
        <f t="shared" si="33"/>
        <v/>
      </c>
    </row>
    <row r="63" spans="2:66" ht="12.75" x14ac:dyDescent="0.25">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0</v>
      </c>
      <c r="BI63" s="279" t="str">
        <f t="shared" si="29"/>
        <v>n.a.</v>
      </c>
      <c r="BK63" s="517" t="str">
        <f t="shared" si="30"/>
        <v/>
      </c>
      <c r="BL63" s="517" t="str">
        <f t="shared" si="31"/>
        <v/>
      </c>
      <c r="BM63" s="517" t="str">
        <f t="shared" si="32"/>
        <v/>
      </c>
      <c r="BN63" s="517" t="str">
        <f t="shared" si="33"/>
        <v/>
      </c>
    </row>
    <row r="64" spans="2:66" ht="12.75" x14ac:dyDescent="0.25">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0</v>
      </c>
      <c r="BI64" s="279" t="str">
        <f t="shared" si="29"/>
        <v>n.a.</v>
      </c>
      <c r="BK64" s="517" t="str">
        <f t="shared" si="30"/>
        <v/>
      </c>
      <c r="BL64" s="517" t="str">
        <f t="shared" si="31"/>
        <v/>
      </c>
      <c r="BM64" s="517" t="str">
        <f t="shared" si="32"/>
        <v/>
      </c>
      <c r="BN64" s="517" t="str">
        <f t="shared" si="33"/>
        <v/>
      </c>
    </row>
    <row r="65" spans="2:66" ht="12.75" x14ac:dyDescent="0.25">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0</v>
      </c>
      <c r="BI65" s="279" t="str">
        <f t="shared" si="29"/>
        <v>n.a.</v>
      </c>
      <c r="BK65" s="517" t="str">
        <f t="shared" si="30"/>
        <v/>
      </c>
      <c r="BL65" s="517" t="str">
        <f t="shared" si="31"/>
        <v/>
      </c>
      <c r="BM65" s="517" t="str">
        <f t="shared" si="32"/>
        <v/>
      </c>
      <c r="BN65" s="517" t="str">
        <f t="shared" si="33"/>
        <v/>
      </c>
    </row>
    <row r="66" spans="2:66" ht="12.75" x14ac:dyDescent="0.25">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0</v>
      </c>
      <c r="BI66" s="279" t="str">
        <f t="shared" si="29"/>
        <v>n.a.</v>
      </c>
      <c r="BK66" s="517" t="str">
        <f t="shared" si="30"/>
        <v/>
      </c>
      <c r="BL66" s="517" t="str">
        <f t="shared" si="31"/>
        <v/>
      </c>
      <c r="BM66" s="517" t="str">
        <f t="shared" si="32"/>
        <v/>
      </c>
      <c r="BN66" s="517" t="str">
        <f t="shared" si="33"/>
        <v/>
      </c>
    </row>
    <row r="67" spans="2:66" ht="12.75" x14ac:dyDescent="0.25">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0</v>
      </c>
      <c r="BI67" s="279" t="str">
        <f t="shared" si="29"/>
        <v>n.a.</v>
      </c>
      <c r="BK67" s="517" t="str">
        <f t="shared" si="30"/>
        <v/>
      </c>
      <c r="BL67" s="517" t="str">
        <f t="shared" si="31"/>
        <v/>
      </c>
      <c r="BM67" s="517" t="str">
        <f t="shared" si="32"/>
        <v/>
      </c>
      <c r="BN67" s="517" t="str">
        <f t="shared" si="33"/>
        <v/>
      </c>
    </row>
    <row r="68" spans="2:66" ht="12.75" x14ac:dyDescent="0.25">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0</v>
      </c>
      <c r="BI68" s="279" t="str">
        <f t="shared" si="29"/>
        <v>n.a.</v>
      </c>
      <c r="BK68" s="517" t="str">
        <f t="shared" si="30"/>
        <v/>
      </c>
      <c r="BL68" s="517" t="str">
        <f t="shared" si="31"/>
        <v/>
      </c>
      <c r="BM68" s="517" t="str">
        <f t="shared" si="32"/>
        <v/>
      </c>
      <c r="BN68" s="517" t="str">
        <f t="shared" si="33"/>
        <v/>
      </c>
    </row>
    <row r="69" spans="2:66" ht="12.75" x14ac:dyDescent="0.25">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0</v>
      </c>
      <c r="BI69" s="279" t="str">
        <f t="shared" si="29"/>
        <v>n.a.</v>
      </c>
      <c r="BK69" s="517" t="str">
        <f t="shared" si="30"/>
        <v/>
      </c>
      <c r="BL69" s="517" t="str">
        <f t="shared" si="31"/>
        <v/>
      </c>
      <c r="BM69" s="517" t="str">
        <f t="shared" si="32"/>
        <v/>
      </c>
      <c r="BN69" s="517" t="str">
        <f t="shared" si="33"/>
        <v/>
      </c>
    </row>
    <row r="70" spans="2:66" ht="12.75" x14ac:dyDescent="0.25">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0</v>
      </c>
      <c r="BI70" s="279" t="str">
        <f t="shared" si="29"/>
        <v>n.a.</v>
      </c>
      <c r="BK70" s="517" t="str">
        <f t="shared" si="30"/>
        <v/>
      </c>
      <c r="BL70" s="517" t="str">
        <f t="shared" si="31"/>
        <v/>
      </c>
      <c r="BM70" s="517" t="str">
        <f t="shared" si="32"/>
        <v/>
      </c>
      <c r="BN70" s="517" t="str">
        <f t="shared" si="33"/>
        <v/>
      </c>
    </row>
    <row r="71" spans="2:66" ht="12.75" x14ac:dyDescent="0.25">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0</v>
      </c>
      <c r="BI71" s="279" t="str">
        <f t="shared" si="29"/>
        <v>n.a.</v>
      </c>
      <c r="BK71" s="517" t="str">
        <f t="shared" si="30"/>
        <v/>
      </c>
      <c r="BL71" s="517" t="str">
        <f t="shared" si="31"/>
        <v/>
      </c>
      <c r="BM71" s="517" t="str">
        <f t="shared" si="32"/>
        <v/>
      </c>
      <c r="BN71" s="517" t="str">
        <f t="shared" si="33"/>
        <v/>
      </c>
    </row>
    <row r="72" spans="2:66" ht="12.75" x14ac:dyDescent="0.25">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0</v>
      </c>
      <c r="BI72" s="279" t="str">
        <f t="shared" si="29"/>
        <v>n.a.</v>
      </c>
      <c r="BK72" s="517" t="str">
        <f t="shared" si="30"/>
        <v/>
      </c>
      <c r="BL72" s="517" t="str">
        <f t="shared" si="31"/>
        <v/>
      </c>
      <c r="BM72" s="517" t="str">
        <f t="shared" si="32"/>
        <v/>
      </c>
      <c r="BN72" s="517" t="str">
        <f t="shared" si="33"/>
        <v/>
      </c>
    </row>
    <row r="73" spans="2:66" ht="12.75" x14ac:dyDescent="0.25">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0</v>
      </c>
      <c r="BI73" s="279" t="str">
        <f t="shared" si="29"/>
        <v>n.a.</v>
      </c>
      <c r="BK73" s="517" t="str">
        <f t="shared" si="30"/>
        <v/>
      </c>
      <c r="BL73" s="517" t="str">
        <f t="shared" si="31"/>
        <v/>
      </c>
      <c r="BM73" s="517" t="str">
        <f t="shared" si="32"/>
        <v/>
      </c>
      <c r="BN73" s="517" t="str">
        <f t="shared" si="33"/>
        <v/>
      </c>
    </row>
    <row r="74" spans="2:66" ht="12.75" x14ac:dyDescent="0.25">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0</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2.75" x14ac:dyDescent="0.25">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0</v>
      </c>
      <c r="BI75" s="279" t="str">
        <f t="shared" si="42"/>
        <v>n.a.</v>
      </c>
      <c r="BK75" s="517" t="str">
        <f t="shared" si="43"/>
        <v/>
      </c>
      <c r="BL75" s="517" t="str">
        <f t="shared" si="44"/>
        <v/>
      </c>
      <c r="BM75" s="517" t="str">
        <f t="shared" si="45"/>
        <v/>
      </c>
      <c r="BN75" s="517" t="str">
        <f t="shared" si="46"/>
        <v/>
      </c>
    </row>
    <row r="76" spans="2:66" ht="12.75" x14ac:dyDescent="0.25">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0</v>
      </c>
      <c r="BI76" s="279" t="str">
        <f t="shared" si="42"/>
        <v>n.a.</v>
      </c>
      <c r="BK76" s="517" t="str">
        <f t="shared" si="43"/>
        <v/>
      </c>
      <c r="BL76" s="517" t="str">
        <f t="shared" si="44"/>
        <v/>
      </c>
      <c r="BM76" s="517" t="str">
        <f t="shared" si="45"/>
        <v/>
      </c>
      <c r="BN76" s="517" t="str">
        <f t="shared" si="46"/>
        <v/>
      </c>
    </row>
    <row r="77" spans="2:66" ht="12.75" x14ac:dyDescent="0.25">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0</v>
      </c>
      <c r="BI77" s="279" t="str">
        <f t="shared" si="42"/>
        <v>n.a.</v>
      </c>
      <c r="BK77" s="517" t="str">
        <f t="shared" si="43"/>
        <v/>
      </c>
      <c r="BL77" s="517" t="str">
        <f t="shared" si="44"/>
        <v/>
      </c>
      <c r="BM77" s="517" t="str">
        <f t="shared" si="45"/>
        <v/>
      </c>
      <c r="BN77" s="517" t="str">
        <f t="shared" si="46"/>
        <v/>
      </c>
    </row>
    <row r="78" spans="2:66" ht="12.75" x14ac:dyDescent="0.25">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0</v>
      </c>
      <c r="BI78" s="279" t="str">
        <f t="shared" si="42"/>
        <v>n.a.</v>
      </c>
      <c r="BK78" s="517" t="str">
        <f t="shared" si="43"/>
        <v/>
      </c>
      <c r="BL78" s="517" t="str">
        <f t="shared" si="44"/>
        <v/>
      </c>
      <c r="BM78" s="517" t="str">
        <f t="shared" si="45"/>
        <v/>
      </c>
      <c r="BN78" s="517" t="str">
        <f t="shared" si="46"/>
        <v/>
      </c>
    </row>
    <row r="79" spans="2:66" ht="12.75" x14ac:dyDescent="0.25">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0</v>
      </c>
      <c r="BI79" s="279" t="str">
        <f t="shared" si="42"/>
        <v>n.a.</v>
      </c>
      <c r="BK79" s="517" t="str">
        <f t="shared" si="43"/>
        <v/>
      </c>
      <c r="BL79" s="517" t="str">
        <f t="shared" si="44"/>
        <v/>
      </c>
      <c r="BM79" s="517" t="str">
        <f t="shared" si="45"/>
        <v/>
      </c>
      <c r="BN79" s="517" t="str">
        <f t="shared" si="46"/>
        <v/>
      </c>
    </row>
    <row r="80" spans="2:66" ht="12.75" x14ac:dyDescent="0.25">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0</v>
      </c>
      <c r="BI80" s="279" t="str">
        <f t="shared" si="42"/>
        <v>n.a.</v>
      </c>
      <c r="BK80" s="517" t="str">
        <f t="shared" si="43"/>
        <v/>
      </c>
      <c r="BL80" s="517" t="str">
        <f t="shared" si="44"/>
        <v/>
      </c>
      <c r="BM80" s="517" t="str">
        <f t="shared" si="45"/>
        <v/>
      </c>
      <c r="BN80" s="517" t="str">
        <f t="shared" si="46"/>
        <v/>
      </c>
    </row>
    <row r="81" spans="2:66" ht="12.75" x14ac:dyDescent="0.25">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0</v>
      </c>
      <c r="BI81" s="279" t="str">
        <f t="shared" si="42"/>
        <v>n.a.</v>
      </c>
      <c r="BK81" s="517" t="str">
        <f t="shared" si="43"/>
        <v/>
      </c>
      <c r="BL81" s="517" t="str">
        <f t="shared" si="44"/>
        <v/>
      </c>
      <c r="BM81" s="517" t="str">
        <f t="shared" si="45"/>
        <v/>
      </c>
      <c r="BN81" s="517" t="str">
        <f t="shared" si="46"/>
        <v/>
      </c>
    </row>
    <row r="82" spans="2:66" ht="12.75" x14ac:dyDescent="0.25">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0</v>
      </c>
      <c r="BI82" s="279" t="str">
        <f t="shared" si="42"/>
        <v>n.a.</v>
      </c>
      <c r="BK82" s="517" t="str">
        <f t="shared" si="43"/>
        <v/>
      </c>
      <c r="BL82" s="517" t="str">
        <f t="shared" si="44"/>
        <v/>
      </c>
      <c r="BM82" s="517" t="str">
        <f t="shared" si="45"/>
        <v/>
      </c>
      <c r="BN82" s="517" t="str">
        <f t="shared" si="46"/>
        <v/>
      </c>
    </row>
    <row r="83" spans="2:66" ht="12.75" x14ac:dyDescent="0.25">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0</v>
      </c>
      <c r="BI83" s="279" t="str">
        <f t="shared" si="42"/>
        <v>n.a.</v>
      </c>
      <c r="BK83" s="517" t="str">
        <f t="shared" si="43"/>
        <v/>
      </c>
      <c r="BL83" s="517" t="str">
        <f t="shared" si="44"/>
        <v/>
      </c>
      <c r="BM83" s="517" t="str">
        <f t="shared" si="45"/>
        <v/>
      </c>
      <c r="BN83" s="517" t="str">
        <f t="shared" si="46"/>
        <v/>
      </c>
    </row>
    <row r="84" spans="2:66" ht="12.75" x14ac:dyDescent="0.25">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0</v>
      </c>
      <c r="BI84" s="279" t="str">
        <f t="shared" si="42"/>
        <v>n.a.</v>
      </c>
      <c r="BK84" s="517" t="str">
        <f t="shared" si="43"/>
        <v/>
      </c>
      <c r="BL84" s="517" t="str">
        <f t="shared" si="44"/>
        <v/>
      </c>
      <c r="BM84" s="517" t="str">
        <f t="shared" si="45"/>
        <v/>
      </c>
      <c r="BN84" s="517" t="str">
        <f t="shared" si="46"/>
        <v/>
      </c>
    </row>
    <row r="85" spans="2:66" ht="12.75" x14ac:dyDescent="0.25">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0</v>
      </c>
      <c r="BI85" s="279" t="str">
        <f t="shared" si="42"/>
        <v>n.a.</v>
      </c>
      <c r="BK85" s="517" t="str">
        <f t="shared" si="43"/>
        <v/>
      </c>
      <c r="BL85" s="517" t="str">
        <f t="shared" si="44"/>
        <v/>
      </c>
      <c r="BM85" s="517" t="str">
        <f t="shared" si="45"/>
        <v/>
      </c>
      <c r="BN85" s="517" t="str">
        <f t="shared" si="46"/>
        <v/>
      </c>
    </row>
    <row r="86" spans="2:66" ht="12.75" x14ac:dyDescent="0.25">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0</v>
      </c>
      <c r="BI86" s="279" t="str">
        <f t="shared" si="42"/>
        <v>n.a.</v>
      </c>
      <c r="BK86" s="517" t="str">
        <f t="shared" si="43"/>
        <v/>
      </c>
      <c r="BL86" s="517" t="str">
        <f t="shared" si="44"/>
        <v/>
      </c>
      <c r="BM86" s="517" t="str">
        <f t="shared" si="45"/>
        <v/>
      </c>
      <c r="BN86" s="517" t="str">
        <f t="shared" si="46"/>
        <v/>
      </c>
    </row>
    <row r="87" spans="2:66" ht="12.75" x14ac:dyDescent="0.25">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0</v>
      </c>
      <c r="BI87" s="279" t="str">
        <f t="shared" si="42"/>
        <v>n.a.</v>
      </c>
      <c r="BK87" s="517" t="str">
        <f t="shared" si="43"/>
        <v/>
      </c>
      <c r="BL87" s="517" t="str">
        <f t="shared" si="44"/>
        <v/>
      </c>
      <c r="BM87" s="517" t="str">
        <f t="shared" si="45"/>
        <v/>
      </c>
      <c r="BN87" s="517" t="str">
        <f t="shared" si="46"/>
        <v/>
      </c>
    </row>
    <row r="88" spans="2:66" ht="12.75" x14ac:dyDescent="0.25">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0</v>
      </c>
      <c r="BI88" s="279" t="str">
        <f t="shared" si="42"/>
        <v>n.a.</v>
      </c>
      <c r="BK88" s="517" t="str">
        <f t="shared" si="43"/>
        <v/>
      </c>
      <c r="BL88" s="517" t="str">
        <f t="shared" si="44"/>
        <v/>
      </c>
      <c r="BM88" s="517" t="str">
        <f t="shared" si="45"/>
        <v/>
      </c>
      <c r="BN88" s="517" t="str">
        <f t="shared" si="46"/>
        <v/>
      </c>
    </row>
    <row r="89" spans="2:66" ht="12.75" x14ac:dyDescent="0.25">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0</v>
      </c>
      <c r="BI89" s="279" t="str">
        <f t="shared" si="42"/>
        <v>n.a.</v>
      </c>
      <c r="BK89" s="517" t="str">
        <f t="shared" si="43"/>
        <v/>
      </c>
      <c r="BL89" s="517" t="str">
        <f t="shared" si="44"/>
        <v/>
      </c>
      <c r="BM89" s="517" t="str">
        <f t="shared" si="45"/>
        <v/>
      </c>
      <c r="BN89" s="517" t="str">
        <f t="shared" si="46"/>
        <v/>
      </c>
    </row>
    <row r="90" spans="2:66" ht="12.75" x14ac:dyDescent="0.25">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0</v>
      </c>
      <c r="BI90" s="279" t="str">
        <f t="shared" si="42"/>
        <v>n.a.</v>
      </c>
      <c r="BK90" s="517" t="str">
        <f t="shared" si="43"/>
        <v/>
      </c>
      <c r="BL90" s="517" t="str">
        <f t="shared" si="44"/>
        <v/>
      </c>
      <c r="BM90" s="517" t="str">
        <f t="shared" si="45"/>
        <v/>
      </c>
      <c r="BN90" s="517" t="str">
        <f t="shared" si="46"/>
        <v/>
      </c>
    </row>
    <row r="91" spans="2:66" ht="12.75" x14ac:dyDescent="0.25">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0</v>
      </c>
      <c r="BI91" s="279" t="str">
        <f t="shared" si="42"/>
        <v>n.a.</v>
      </c>
      <c r="BK91" s="517" t="str">
        <f t="shared" si="43"/>
        <v/>
      </c>
      <c r="BL91" s="517" t="str">
        <f t="shared" si="44"/>
        <v/>
      </c>
      <c r="BM91" s="517" t="str">
        <f t="shared" si="45"/>
        <v/>
      </c>
      <c r="BN91" s="517" t="str">
        <f t="shared" si="46"/>
        <v/>
      </c>
    </row>
    <row r="92" spans="2:66" ht="12.75" x14ac:dyDescent="0.25">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0</v>
      </c>
      <c r="BI92" s="279" t="str">
        <f t="shared" si="42"/>
        <v>n.a.</v>
      </c>
      <c r="BK92" s="517" t="str">
        <f t="shared" si="43"/>
        <v/>
      </c>
      <c r="BL92" s="517" t="str">
        <f t="shared" si="44"/>
        <v/>
      </c>
      <c r="BM92" s="517" t="str">
        <f t="shared" si="45"/>
        <v/>
      </c>
      <c r="BN92" s="517" t="str">
        <f t="shared" si="46"/>
        <v/>
      </c>
    </row>
    <row r="93" spans="2:66" ht="12.75" x14ac:dyDescent="0.25">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0</v>
      </c>
      <c r="BI93" s="279" t="str">
        <f t="shared" si="42"/>
        <v>n.a.</v>
      </c>
      <c r="BK93" s="517" t="str">
        <f t="shared" si="43"/>
        <v/>
      </c>
      <c r="BL93" s="517" t="str">
        <f t="shared" si="44"/>
        <v/>
      </c>
      <c r="BM93" s="517" t="str">
        <f t="shared" si="45"/>
        <v/>
      </c>
      <c r="BN93" s="517" t="str">
        <f t="shared" si="46"/>
        <v/>
      </c>
    </row>
    <row r="94" spans="2:66" ht="12.75" x14ac:dyDescent="0.25">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0</v>
      </c>
      <c r="BI94" s="279" t="str">
        <f t="shared" si="42"/>
        <v>n.a.</v>
      </c>
      <c r="BK94" s="517" t="str">
        <f t="shared" si="43"/>
        <v/>
      </c>
      <c r="BL94" s="517" t="str">
        <f t="shared" si="44"/>
        <v/>
      </c>
      <c r="BM94" s="517" t="str">
        <f t="shared" si="45"/>
        <v/>
      </c>
      <c r="BN94" s="517" t="str">
        <f t="shared" si="46"/>
        <v/>
      </c>
    </row>
    <row r="95" spans="2:66" ht="12.75" x14ac:dyDescent="0.25">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0</v>
      </c>
      <c r="BI95" s="279" t="str">
        <f t="shared" si="42"/>
        <v>n.a.</v>
      </c>
      <c r="BK95" s="517" t="str">
        <f t="shared" si="43"/>
        <v/>
      </c>
      <c r="BL95" s="517" t="str">
        <f t="shared" si="44"/>
        <v/>
      </c>
      <c r="BM95" s="517" t="str">
        <f t="shared" si="45"/>
        <v/>
      </c>
      <c r="BN95" s="517" t="str">
        <f t="shared" si="46"/>
        <v/>
      </c>
    </row>
    <row r="96" spans="2:66" ht="12.75" x14ac:dyDescent="0.25">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0</v>
      </c>
      <c r="BI96" s="279" t="str">
        <f t="shared" si="42"/>
        <v>n.a.</v>
      </c>
      <c r="BK96" s="517" t="str">
        <f t="shared" si="43"/>
        <v/>
      </c>
      <c r="BL96" s="517" t="str">
        <f t="shared" si="44"/>
        <v/>
      </c>
      <c r="BM96" s="517" t="str">
        <f t="shared" si="45"/>
        <v/>
      </c>
      <c r="BN96" s="517" t="str">
        <f t="shared" si="46"/>
        <v/>
      </c>
    </row>
    <row r="97" spans="1:66" ht="12.75" x14ac:dyDescent="0.25">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0</v>
      </c>
      <c r="BI97" s="279" t="str">
        <f t="shared" si="42"/>
        <v>n.a.</v>
      </c>
      <c r="BK97" s="517" t="str">
        <f t="shared" si="43"/>
        <v/>
      </c>
      <c r="BL97" s="517" t="str">
        <f t="shared" si="44"/>
        <v/>
      </c>
      <c r="BM97" s="517" t="str">
        <f t="shared" si="45"/>
        <v/>
      </c>
      <c r="BN97" s="517" t="str">
        <f t="shared" si="46"/>
        <v/>
      </c>
    </row>
    <row r="98" spans="1:66" ht="12.75" x14ac:dyDescent="0.25">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0</v>
      </c>
      <c r="BI98" s="279" t="str">
        <f t="shared" si="42"/>
        <v>n.a.</v>
      </c>
      <c r="BK98" s="517" t="str">
        <f t="shared" si="43"/>
        <v/>
      </c>
      <c r="BL98" s="517" t="str">
        <f t="shared" si="44"/>
        <v/>
      </c>
      <c r="BM98" s="517" t="str">
        <f t="shared" si="45"/>
        <v/>
      </c>
      <c r="BN98" s="517" t="str">
        <f t="shared" si="46"/>
        <v/>
      </c>
    </row>
    <row r="99" spans="1:66" ht="12.75" x14ac:dyDescent="0.25">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0</v>
      </c>
      <c r="BI99" s="279" t="str">
        <f t="shared" si="42"/>
        <v>n.a.</v>
      </c>
      <c r="BK99" s="517" t="str">
        <f t="shared" si="43"/>
        <v/>
      </c>
      <c r="BL99" s="517" t="str">
        <f t="shared" si="44"/>
        <v/>
      </c>
      <c r="BM99" s="517" t="str">
        <f t="shared" si="45"/>
        <v/>
      </c>
      <c r="BN99" s="517" t="str">
        <f t="shared" si="46"/>
        <v/>
      </c>
    </row>
    <row r="100" spans="1:66" ht="12.75" x14ac:dyDescent="0.25">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0</v>
      </c>
      <c r="BI100" s="279" t="str">
        <f t="shared" si="42"/>
        <v>n.a.</v>
      </c>
      <c r="BK100" s="517" t="str">
        <f t="shared" si="43"/>
        <v/>
      </c>
      <c r="BL100" s="517" t="str">
        <f t="shared" si="44"/>
        <v/>
      </c>
      <c r="BM100" s="517" t="str">
        <f t="shared" si="45"/>
        <v/>
      </c>
      <c r="BN100" s="517" t="str">
        <f t="shared" si="46"/>
        <v/>
      </c>
    </row>
    <row r="101" spans="1:66" ht="12.75" x14ac:dyDescent="0.25">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0</v>
      </c>
      <c r="BI101" s="279" t="str">
        <f t="shared" si="42"/>
        <v>n.a.</v>
      </c>
      <c r="BK101" s="517" t="str">
        <f t="shared" si="43"/>
        <v/>
      </c>
      <c r="BL101" s="517" t="str">
        <f t="shared" si="44"/>
        <v/>
      </c>
      <c r="BM101" s="517" t="str">
        <f t="shared" si="45"/>
        <v/>
      </c>
      <c r="BN101" s="517" t="str">
        <f t="shared" si="46"/>
        <v/>
      </c>
    </row>
    <row r="102" spans="1:66" ht="12.75" x14ac:dyDescent="0.25">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0</v>
      </c>
      <c r="BI102" s="279" t="str">
        <f t="shared" si="42"/>
        <v>n.a.</v>
      </c>
      <c r="BK102" s="517" t="str">
        <f t="shared" si="43"/>
        <v/>
      </c>
      <c r="BL102" s="517" t="str">
        <f t="shared" si="44"/>
        <v/>
      </c>
      <c r="BM102" s="517" t="str">
        <f t="shared" si="45"/>
        <v/>
      </c>
      <c r="BN102" s="517" t="str">
        <f t="shared" si="46"/>
        <v/>
      </c>
    </row>
    <row r="103" spans="1:66" ht="12.75" x14ac:dyDescent="0.25">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0</v>
      </c>
      <c r="BI103" s="279" t="str">
        <f t="shared" si="42"/>
        <v>n.a.</v>
      </c>
      <c r="BK103" s="517" t="str">
        <f t="shared" si="43"/>
        <v/>
      </c>
      <c r="BL103" s="517" t="str">
        <f t="shared" si="44"/>
        <v/>
      </c>
      <c r="BM103" s="517" t="str">
        <f t="shared" si="45"/>
        <v/>
      </c>
      <c r="BN103" s="517" t="str">
        <f t="shared" si="46"/>
        <v/>
      </c>
    </row>
    <row r="104" spans="1:66" ht="12.75" x14ac:dyDescent="0.25">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0</v>
      </c>
      <c r="BI104" s="279" t="str">
        <f t="shared" si="42"/>
        <v>n.a.</v>
      </c>
      <c r="BK104" s="517" t="str">
        <f t="shared" si="43"/>
        <v/>
      </c>
      <c r="BL104" s="517" t="str">
        <f t="shared" si="44"/>
        <v/>
      </c>
      <c r="BM104" s="517" t="str">
        <f t="shared" si="45"/>
        <v/>
      </c>
      <c r="BN104" s="517" t="str">
        <f t="shared" si="46"/>
        <v/>
      </c>
    </row>
    <row r="105" spans="1:66" ht="12.75" x14ac:dyDescent="0.25">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0</v>
      </c>
      <c r="BI105" s="279" t="str">
        <f t="shared" si="42"/>
        <v>n.a.</v>
      </c>
      <c r="BK105" s="517" t="str">
        <f t="shared" si="43"/>
        <v/>
      </c>
      <c r="BL105" s="517" t="str">
        <f t="shared" si="44"/>
        <v/>
      </c>
      <c r="BM105" s="517" t="str">
        <f t="shared" si="45"/>
        <v/>
      </c>
      <c r="BN105" s="517" t="str">
        <f t="shared" si="46"/>
        <v/>
      </c>
    </row>
    <row r="106" spans="1:66" ht="12.75" x14ac:dyDescent="0.25">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0</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2.75" x14ac:dyDescent="0.25">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0</v>
      </c>
      <c r="BI107" s="279" t="str">
        <f t="shared" si="56"/>
        <v>n.a.</v>
      </c>
      <c r="BK107" s="517" t="str">
        <f t="shared" si="43"/>
        <v/>
      </c>
      <c r="BL107" s="517" t="str">
        <f t="shared" si="44"/>
        <v/>
      </c>
      <c r="BM107" s="517" t="str">
        <f t="shared" si="45"/>
        <v/>
      </c>
      <c r="BN107" s="517" t="str">
        <f t="shared" si="46"/>
        <v/>
      </c>
    </row>
    <row r="108" spans="1:66" ht="12.75" x14ac:dyDescent="0.25">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0</v>
      </c>
      <c r="BI108" s="279" t="str">
        <f t="shared" si="56"/>
        <v>n.a.</v>
      </c>
      <c r="BK108" s="517" t="str">
        <f t="shared" si="43"/>
        <v/>
      </c>
      <c r="BL108" s="517" t="str">
        <f t="shared" si="44"/>
        <v/>
      </c>
      <c r="BM108" s="517" t="str">
        <f t="shared" si="45"/>
        <v/>
      </c>
      <c r="BN108" s="517" t="str">
        <f t="shared" si="46"/>
        <v/>
      </c>
    </row>
    <row r="109" spans="1:66" ht="12.75" x14ac:dyDescent="0.25">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0</v>
      </c>
      <c r="BI109" s="279" t="str">
        <f t="shared" si="56"/>
        <v>n.a.</v>
      </c>
      <c r="BK109" s="517" t="str">
        <f t="shared" si="43"/>
        <v/>
      </c>
      <c r="BL109" s="517" t="str">
        <f t="shared" si="44"/>
        <v/>
      </c>
      <c r="BM109" s="517" t="str">
        <f t="shared" si="45"/>
        <v/>
      </c>
      <c r="BN109" s="517" t="str">
        <f t="shared" si="46"/>
        <v/>
      </c>
    </row>
    <row r="111" spans="1:66" s="275" customFormat="1" hidden="1" x14ac:dyDescent="0.25">
      <c r="A111" s="275" t="s">
        <v>3</v>
      </c>
      <c r="BB111" s="275" t="s">
        <v>116</v>
      </c>
    </row>
    <row r="112" spans="1:66" s="275" customFormat="1" hidden="1" x14ac:dyDescent="0.25">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0</v>
      </c>
      <c r="W112" s="279" t="b">
        <f>IF(OR($D10="",$D10=CONST_NA),FALSE,INDEX(Parameters_Constants!$K$110:$AF$127,MATCH($E10,CONST_LIST_Goods,0),MATCH(W$8,Parameters_Constants!$K$109:$AF$109,0))=FALSE)</f>
        <v>0</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0</v>
      </c>
      <c r="AA112" s="279" t="b">
        <f>IF(OR($D10="",$D10=CONST_NA),FALSE,INDEX(Parameters_Constants!$K$110:$AF$127,MATCH($E10,CONST_LIST_Goods,0),MATCH(AA$8,Parameters_Constants!$K$109:$AF$109,0))=FALSE)</f>
        <v>0</v>
      </c>
      <c r="AB112" s="279" t="b">
        <f>IF(OR($D10="",$D10=CONST_NA),FALSE,INDEX(Parameters_Constants!$K$110:$AF$127,MATCH($E10,CONST_LIST_Goods,0),MATCH(AB$8,Parameters_Constants!$K$109:$AF$109,0))=FALSE)</f>
        <v>0</v>
      </c>
      <c r="AC112" s="279" t="b">
        <f>IF(OR($D10="",$D10=CONST_NA),FALSE,INDEX(Parameters_Constants!$K$110:$AF$127,MATCH($E10,CONST_LIST_Goods,0),MATCH(AC$8,Parameters_Constants!$K$109:$AF$109,0))=FALSE)</f>
        <v>0</v>
      </c>
      <c r="AD112" s="279" t="b">
        <f>IF(OR($D10="",$D10=CONST_NA),FALSE,INDEX(Parameters_Constants!$K$110:$AF$127,MATCH($E10,CONST_LIST_Goods,0),MATCH(AD$8,Parameters_Constants!$K$109:$AF$109,0))=FALSE)</f>
        <v>0</v>
      </c>
      <c r="AE112" s="279" t="b">
        <f>IF(OR($D10="",$D10=CONST_NA),FALSE,INDEX(Parameters_Constants!$K$110:$AF$127,MATCH($E10,CONST_LIST_Goods,0),MATCH(AE$8,Parameters_Constants!$K$109:$AF$109,0))=FALSE)</f>
        <v>0</v>
      </c>
      <c r="AF112" s="279" t="b">
        <f>IF(OR($D10="",$D10=CONST_NA),FALSE,INDEX(Parameters_Constants!$K$110:$AF$127,MATCH($E10,CONST_LIST_Goods,0),MATCH(AF$8,Parameters_Constants!$K$109:$AF$109,0))=FALSE)</f>
        <v>0</v>
      </c>
      <c r="AG112" s="279" t="b">
        <f>IF(OR($D10="",$D10=CONST_NA),FALSE,INDEX(Parameters_Constants!$K$110:$AF$127,MATCH($E10,CONST_LIST_Goods,0),MATCH(AG$8,Parameters_Constants!$K$109:$AF$109,0))=FALSE)</f>
        <v>0</v>
      </c>
      <c r="AH112" s="279" t="b">
        <f>IF(OR($D10="",$D10=CONST_NA),FALSE,INDEX(Parameters_Constants!$K$110:$AF$127,MATCH($E10,CONST_LIST_Goods,0),MATCH(AH$8,Parameters_Constants!$K$109:$AF$109,0))=FALSE)</f>
        <v>0</v>
      </c>
      <c r="AI112" s="279" t="b">
        <f>IF(OR($D10="",$D10=CONST_NA),FALSE,INDEX(Parameters_Constants!$K$110:$AF$127,MATCH($E10,CONST_LIST_Goods,0),MATCH(AI$8,Parameters_Constants!$K$109:$AF$109,0))=FALSE)</f>
        <v>0</v>
      </c>
      <c r="AJ112" s="279" t="b">
        <f>IF(OR($D10="",$D10=CONST_NA),FALSE,INDEX(Parameters_Constants!$K$110:$AF$127,MATCH($E10,CONST_LIST_Goods,0),MATCH(AJ$8,Parameters_Constants!$K$109:$AF$109,0))=FALSE)</f>
        <v>0</v>
      </c>
      <c r="AK112" s="279" t="b">
        <f>IF(OR($D10="",$D10=CONST_NA),FALSE,INDEX(Parameters_Constants!$K$110:$AF$127,MATCH($E10,CONST_LIST_Goods,0),MATCH(AK$8,Parameters_Constants!$K$109:$AF$109,0))=FALSE)</f>
        <v>0</v>
      </c>
    </row>
    <row r="113" spans="1:37" s="275" customFormat="1" hidden="1" x14ac:dyDescent="0.25">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25">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25">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25">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25">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25">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25">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25">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25">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25">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25">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25">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25">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25">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25">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25">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25">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25">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25">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25">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25">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25">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25">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25">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25">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25">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25">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25">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25">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25">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25">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25">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25">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25">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25">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25">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25">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25">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25">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25">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25">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25">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25">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25">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25">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25">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25">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25">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25">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25">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25">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25">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25">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25">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25">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25">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25">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25">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25">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25">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25">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25">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25">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25">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25">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25">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25">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25">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25">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25">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25">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25">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25">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25">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25">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25">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25">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25">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25">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25">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25">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25">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25">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25">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25">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25">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25">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25">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25">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25">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25">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25">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25">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25">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25">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25">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25">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25">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25">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25">
      <c r="A212" s="275" t="s">
        <v>3</v>
      </c>
    </row>
    <row r="213" spans="1:53" s="275" customFormat="1" hidden="1" x14ac:dyDescent="0.25">
      <c r="A213" s="275" t="s">
        <v>3</v>
      </c>
      <c r="C213" s="275" t="s">
        <v>4080</v>
      </c>
    </row>
    <row r="214" spans="1:53" s="275" customFormat="1" hidden="1" x14ac:dyDescent="0.25">
      <c r="A214" s="275" t="s">
        <v>3</v>
      </c>
      <c r="C214" s="275">
        <v>1</v>
      </c>
      <c r="F214" s="279" t="b">
        <f t="shared" ref="F214:L223" si="57">AND($BG10=FALSE,AND(F112&lt;&gt;"",F112=FALSE),F10="")</f>
        <v>1</v>
      </c>
      <c r="G214" s="279" t="b">
        <f t="shared" si="57"/>
        <v>0</v>
      </c>
      <c r="H214" s="279" t="b">
        <f t="shared" si="57"/>
        <v>1</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1</v>
      </c>
      <c r="Q214" s="279" t="b">
        <f t="shared" ref="Q214:AF245" si="59">AND($BG10=FALSE,AND(Q112&lt;&gt;"",Q112=FALSE),Q10="")</f>
        <v>1</v>
      </c>
      <c r="AB214" s="279" t="b">
        <f t="shared" ref="AB214:AP214" si="60">AND($BG10=FALSE,AND(AB112&lt;&gt;"",AB112=FALSE),AB10="")</f>
        <v>1</v>
      </c>
      <c r="AC214" s="279" t="b">
        <f t="shared" si="60"/>
        <v>1</v>
      </c>
      <c r="AD214" s="279" t="b">
        <f t="shared" si="60"/>
        <v>1</v>
      </c>
      <c r="AE214" s="279" t="b">
        <f t="shared" si="60"/>
        <v>1</v>
      </c>
      <c r="AF214" s="279" t="b">
        <f t="shared" si="60"/>
        <v>1</v>
      </c>
      <c r="AG214" s="279" t="b">
        <f t="shared" si="60"/>
        <v>1</v>
      </c>
      <c r="AH214" s="279" t="b">
        <f t="shared" si="60"/>
        <v>1</v>
      </c>
      <c r="AI214" s="279" t="b">
        <f t="shared" si="60"/>
        <v>1</v>
      </c>
      <c r="AJ214" s="279" t="b">
        <f t="shared" si="60"/>
        <v>1</v>
      </c>
      <c r="AK214" s="279" t="b">
        <f t="shared" si="60"/>
        <v>1</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25">
      <c r="A215" s="275" t="s">
        <v>3</v>
      </c>
      <c r="C215" s="275">
        <v>2</v>
      </c>
      <c r="F215" s="279" t="b">
        <f t="shared" si="57"/>
        <v>1</v>
      </c>
      <c r="G215" s="279" t="b">
        <f t="shared" si="57"/>
        <v>0</v>
      </c>
      <c r="H215" s="279" t="b">
        <f t="shared" si="57"/>
        <v>1</v>
      </c>
      <c r="I215" s="279" t="b">
        <f t="shared" si="57"/>
        <v>0</v>
      </c>
      <c r="J215" s="279" t="b">
        <f t="shared" si="57"/>
        <v>0</v>
      </c>
      <c r="K215" s="279" t="b">
        <f t="shared" si="57"/>
        <v>0</v>
      </c>
      <c r="L215" s="279" t="b">
        <f t="shared" si="57"/>
        <v>0</v>
      </c>
      <c r="M215" s="279"/>
      <c r="N215" s="279" t="b">
        <f t="shared" si="58"/>
        <v>0</v>
      </c>
      <c r="O215" s="279" t="b">
        <f t="shared" si="58"/>
        <v>0</v>
      </c>
      <c r="P215" s="279" t="b">
        <f t="shared" si="58"/>
        <v>1</v>
      </c>
      <c r="Q215" s="279" t="b">
        <f t="shared" si="59"/>
        <v>1</v>
      </c>
      <c r="AB215" s="279" t="b">
        <f t="shared" ref="AB215:AP215" si="62">AND($BG11=FALSE,AND(AB113&lt;&gt;"",AB113=FALSE),AB11="")</f>
        <v>1</v>
      </c>
      <c r="AC215" s="279" t="b">
        <f t="shared" si="62"/>
        <v>1</v>
      </c>
      <c r="AD215" s="279" t="b">
        <f t="shared" si="62"/>
        <v>1</v>
      </c>
      <c r="AE215" s="279" t="b">
        <f t="shared" si="62"/>
        <v>1</v>
      </c>
      <c r="AF215" s="279" t="b">
        <f t="shared" si="62"/>
        <v>1</v>
      </c>
      <c r="AG215" s="279" t="b">
        <f t="shared" si="62"/>
        <v>1</v>
      </c>
      <c r="AH215" s="279" t="b">
        <f t="shared" si="62"/>
        <v>1</v>
      </c>
      <c r="AI215" s="279" t="b">
        <f t="shared" si="62"/>
        <v>1</v>
      </c>
      <c r="AJ215" s="279" t="b">
        <f t="shared" si="62"/>
        <v>1</v>
      </c>
      <c r="AK215" s="279" t="b">
        <f t="shared" si="62"/>
        <v>1</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25">
      <c r="A216" s="275" t="s">
        <v>3</v>
      </c>
      <c r="C216" s="275">
        <v>3</v>
      </c>
      <c r="F216" s="279" t="b">
        <f t="shared" si="57"/>
        <v>1</v>
      </c>
      <c r="G216" s="279" t="b">
        <f t="shared" si="57"/>
        <v>0</v>
      </c>
      <c r="H216" s="279" t="b">
        <f t="shared" si="57"/>
        <v>1</v>
      </c>
      <c r="I216" s="279" t="b">
        <f t="shared" si="57"/>
        <v>0</v>
      </c>
      <c r="J216" s="279" t="b">
        <f t="shared" si="57"/>
        <v>0</v>
      </c>
      <c r="K216" s="279" t="b">
        <f t="shared" si="57"/>
        <v>0</v>
      </c>
      <c r="L216" s="279" t="b">
        <f t="shared" si="57"/>
        <v>0</v>
      </c>
      <c r="M216" s="279"/>
      <c r="N216" s="279" t="b">
        <f t="shared" si="58"/>
        <v>0</v>
      </c>
      <c r="O216" s="279" t="b">
        <f t="shared" si="58"/>
        <v>0</v>
      </c>
      <c r="P216" s="279" t="b">
        <f t="shared" si="58"/>
        <v>1</v>
      </c>
      <c r="Q216" s="279" t="b">
        <f t="shared" si="59"/>
        <v>1</v>
      </c>
      <c r="AB216" s="279" t="b">
        <f t="shared" ref="AB216:AP216" si="64">AND($BG12=FALSE,AND(AB114&lt;&gt;"",AB114=FALSE),AB12="")</f>
        <v>1</v>
      </c>
      <c r="AC216" s="279" t="b">
        <f t="shared" si="64"/>
        <v>1</v>
      </c>
      <c r="AD216" s="279" t="b">
        <f t="shared" si="64"/>
        <v>1</v>
      </c>
      <c r="AE216" s="279" t="b">
        <f t="shared" si="64"/>
        <v>1</v>
      </c>
      <c r="AF216" s="279" t="b">
        <f t="shared" si="64"/>
        <v>1</v>
      </c>
      <c r="AG216" s="279" t="b">
        <f t="shared" si="64"/>
        <v>1</v>
      </c>
      <c r="AH216" s="279" t="b">
        <f t="shared" si="64"/>
        <v>1</v>
      </c>
      <c r="AI216" s="279" t="b">
        <f t="shared" si="64"/>
        <v>1</v>
      </c>
      <c r="AJ216" s="279" t="b">
        <f t="shared" si="64"/>
        <v>1</v>
      </c>
      <c r="AK216" s="279" t="b">
        <f t="shared" si="64"/>
        <v>1</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25">
      <c r="A217" s="275" t="s">
        <v>3</v>
      </c>
      <c r="C217" s="275">
        <v>4</v>
      </c>
      <c r="F217" s="279" t="b">
        <f t="shared" si="57"/>
        <v>1</v>
      </c>
      <c r="G217" s="279" t="b">
        <f t="shared" si="57"/>
        <v>0</v>
      </c>
      <c r="H217" s="279" t="b">
        <f t="shared" si="57"/>
        <v>1</v>
      </c>
      <c r="I217" s="279" t="b">
        <f t="shared" si="57"/>
        <v>0</v>
      </c>
      <c r="J217" s="279" t="b">
        <f t="shared" si="57"/>
        <v>0</v>
      </c>
      <c r="K217" s="279" t="b">
        <f t="shared" si="57"/>
        <v>0</v>
      </c>
      <c r="L217" s="279" t="b">
        <f t="shared" si="57"/>
        <v>0</v>
      </c>
      <c r="M217" s="279"/>
      <c r="N217" s="279" t="b">
        <f t="shared" si="58"/>
        <v>0</v>
      </c>
      <c r="O217" s="279" t="b">
        <f t="shared" si="58"/>
        <v>0</v>
      </c>
      <c r="P217" s="279" t="b">
        <f t="shared" si="58"/>
        <v>1</v>
      </c>
      <c r="Q217" s="279" t="b">
        <f t="shared" si="59"/>
        <v>1</v>
      </c>
      <c r="AB217" s="279" t="b">
        <f t="shared" ref="AB217:AP217" si="66">AND($BG13=FALSE,AND(AB115&lt;&gt;"",AB115=FALSE),AB13="")</f>
        <v>1</v>
      </c>
      <c r="AC217" s="279" t="b">
        <f t="shared" si="66"/>
        <v>1</v>
      </c>
      <c r="AD217" s="279" t="b">
        <f t="shared" si="66"/>
        <v>1</v>
      </c>
      <c r="AE217" s="279" t="b">
        <f t="shared" si="66"/>
        <v>1</v>
      </c>
      <c r="AF217" s="279" t="b">
        <f t="shared" si="66"/>
        <v>1</v>
      </c>
      <c r="AG217" s="279" t="b">
        <f t="shared" si="66"/>
        <v>1</v>
      </c>
      <c r="AH217" s="279" t="b">
        <f t="shared" si="66"/>
        <v>1</v>
      </c>
      <c r="AI217" s="279" t="b">
        <f t="shared" si="66"/>
        <v>1</v>
      </c>
      <c r="AJ217" s="279" t="b">
        <f t="shared" si="66"/>
        <v>1</v>
      </c>
      <c r="AK217" s="279" t="b">
        <f t="shared" si="66"/>
        <v>1</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25">
      <c r="A218" s="275" t="s">
        <v>3</v>
      </c>
      <c r="C218" s="275">
        <v>5</v>
      </c>
      <c r="F218" s="279" t="b">
        <f t="shared" si="57"/>
        <v>1</v>
      </c>
      <c r="G218" s="279" t="b">
        <f t="shared" si="57"/>
        <v>0</v>
      </c>
      <c r="H218" s="279" t="b">
        <f t="shared" si="57"/>
        <v>1</v>
      </c>
      <c r="I218" s="279" t="b">
        <f t="shared" si="57"/>
        <v>0</v>
      </c>
      <c r="J218" s="279" t="b">
        <f t="shared" si="57"/>
        <v>0</v>
      </c>
      <c r="K218" s="279" t="b">
        <f t="shared" si="57"/>
        <v>0</v>
      </c>
      <c r="L218" s="279" t="b">
        <f t="shared" si="57"/>
        <v>0</v>
      </c>
      <c r="M218" s="279"/>
      <c r="N218" s="279" t="b">
        <f t="shared" si="58"/>
        <v>0</v>
      </c>
      <c r="O218" s="279" t="b">
        <f t="shared" si="58"/>
        <v>0</v>
      </c>
      <c r="P218" s="279" t="b">
        <f t="shared" si="58"/>
        <v>1</v>
      </c>
      <c r="Q218" s="279" t="b">
        <f t="shared" si="59"/>
        <v>1</v>
      </c>
      <c r="AB218" s="279" t="b">
        <f t="shared" ref="AB218:AP218" si="68">AND($BG14=FALSE,AND(AB116&lt;&gt;"",AB116=FALSE),AB14="")</f>
        <v>1</v>
      </c>
      <c r="AC218" s="279" t="b">
        <f t="shared" si="68"/>
        <v>1</v>
      </c>
      <c r="AD218" s="279" t="b">
        <f t="shared" si="68"/>
        <v>1</v>
      </c>
      <c r="AE218" s="279" t="b">
        <f t="shared" si="68"/>
        <v>1</v>
      </c>
      <c r="AF218" s="279" t="b">
        <f t="shared" si="68"/>
        <v>1</v>
      </c>
      <c r="AG218" s="279" t="b">
        <f t="shared" si="68"/>
        <v>1</v>
      </c>
      <c r="AH218" s="279" t="b">
        <f t="shared" si="68"/>
        <v>1</v>
      </c>
      <c r="AI218" s="279" t="b">
        <f t="shared" si="68"/>
        <v>1</v>
      </c>
      <c r="AJ218" s="279" t="b">
        <f t="shared" si="68"/>
        <v>1</v>
      </c>
      <c r="AK218" s="279" t="b">
        <f t="shared" si="68"/>
        <v>1</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25">
      <c r="A219" s="275" t="s">
        <v>3</v>
      </c>
      <c r="C219" s="275">
        <v>6</v>
      </c>
      <c r="F219" s="279" t="b">
        <f t="shared" si="57"/>
        <v>1</v>
      </c>
      <c r="G219" s="279" t="b">
        <f t="shared" si="57"/>
        <v>0</v>
      </c>
      <c r="H219" s="279" t="b">
        <f t="shared" si="57"/>
        <v>1</v>
      </c>
      <c r="I219" s="279" t="b">
        <f t="shared" si="57"/>
        <v>0</v>
      </c>
      <c r="J219" s="279" t="b">
        <f t="shared" si="57"/>
        <v>0</v>
      </c>
      <c r="K219" s="279" t="b">
        <f t="shared" si="57"/>
        <v>0</v>
      </c>
      <c r="L219" s="279" t="b">
        <f t="shared" si="57"/>
        <v>0</v>
      </c>
      <c r="M219" s="279"/>
      <c r="N219" s="279" t="b">
        <f t="shared" si="58"/>
        <v>0</v>
      </c>
      <c r="O219" s="279" t="b">
        <f t="shared" si="58"/>
        <v>0</v>
      </c>
      <c r="P219" s="279" t="b">
        <f t="shared" si="58"/>
        <v>1</v>
      </c>
      <c r="Q219" s="279" t="b">
        <f t="shared" si="59"/>
        <v>1</v>
      </c>
      <c r="AB219" s="279" t="b">
        <f t="shared" ref="AB219:AP219" si="70">AND($BG15=FALSE,AND(AB117&lt;&gt;"",AB117=FALSE),AB15="")</f>
        <v>1</v>
      </c>
      <c r="AC219" s="279" t="b">
        <f t="shared" si="70"/>
        <v>1</v>
      </c>
      <c r="AD219" s="279" t="b">
        <f t="shared" si="70"/>
        <v>1</v>
      </c>
      <c r="AE219" s="279" t="b">
        <f t="shared" si="70"/>
        <v>1</v>
      </c>
      <c r="AF219" s="279" t="b">
        <f t="shared" si="70"/>
        <v>1</v>
      </c>
      <c r="AG219" s="279" t="b">
        <f t="shared" si="70"/>
        <v>1</v>
      </c>
      <c r="AH219" s="279" t="b">
        <f t="shared" si="70"/>
        <v>1</v>
      </c>
      <c r="AI219" s="279" t="b">
        <f t="shared" si="70"/>
        <v>1</v>
      </c>
      <c r="AJ219" s="279" t="b">
        <f t="shared" si="70"/>
        <v>1</v>
      </c>
      <c r="AK219" s="279" t="b">
        <f t="shared" si="70"/>
        <v>1</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25">
      <c r="A220" s="275" t="s">
        <v>3</v>
      </c>
      <c r="C220" s="275">
        <v>7</v>
      </c>
      <c r="F220" s="279" t="b">
        <f t="shared" si="57"/>
        <v>1</v>
      </c>
      <c r="G220" s="279" t="b">
        <f t="shared" si="57"/>
        <v>0</v>
      </c>
      <c r="H220" s="279" t="b">
        <f t="shared" si="57"/>
        <v>1</v>
      </c>
      <c r="I220" s="279" t="b">
        <f t="shared" si="57"/>
        <v>0</v>
      </c>
      <c r="J220" s="279" t="b">
        <f t="shared" si="57"/>
        <v>0</v>
      </c>
      <c r="K220" s="279" t="b">
        <f t="shared" si="57"/>
        <v>0</v>
      </c>
      <c r="L220" s="279" t="b">
        <f t="shared" si="57"/>
        <v>0</v>
      </c>
      <c r="M220" s="279"/>
      <c r="N220" s="279" t="b">
        <f t="shared" si="58"/>
        <v>0</v>
      </c>
      <c r="O220" s="279" t="b">
        <f t="shared" si="58"/>
        <v>0</v>
      </c>
      <c r="P220" s="279" t="b">
        <f t="shared" si="58"/>
        <v>1</v>
      </c>
      <c r="Q220" s="279" t="b">
        <f t="shared" si="59"/>
        <v>1</v>
      </c>
      <c r="AB220" s="279" t="b">
        <f t="shared" ref="AB220:AP220" si="72">AND($BG16=FALSE,AND(AB118&lt;&gt;"",AB118=FALSE),AB16="")</f>
        <v>1</v>
      </c>
      <c r="AC220" s="279" t="b">
        <f t="shared" si="72"/>
        <v>1</v>
      </c>
      <c r="AD220" s="279" t="b">
        <f t="shared" si="72"/>
        <v>1</v>
      </c>
      <c r="AE220" s="279" t="b">
        <f t="shared" si="72"/>
        <v>1</v>
      </c>
      <c r="AF220" s="279" t="b">
        <f t="shared" si="72"/>
        <v>1</v>
      </c>
      <c r="AG220" s="279" t="b">
        <f t="shared" si="72"/>
        <v>1</v>
      </c>
      <c r="AH220" s="279" t="b">
        <f t="shared" si="72"/>
        <v>1</v>
      </c>
      <c r="AI220" s="279" t="b">
        <f t="shared" si="72"/>
        <v>1</v>
      </c>
      <c r="AJ220" s="279" t="b">
        <f t="shared" si="72"/>
        <v>1</v>
      </c>
      <c r="AK220" s="279" t="b">
        <f t="shared" si="72"/>
        <v>1</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25">
      <c r="A221" s="275" t="s">
        <v>3</v>
      </c>
      <c r="C221" s="275">
        <v>8</v>
      </c>
      <c r="F221" s="279" t="b">
        <f t="shared" si="57"/>
        <v>1</v>
      </c>
      <c r="G221" s="279" t="b">
        <f t="shared" si="57"/>
        <v>0</v>
      </c>
      <c r="H221" s="279" t="b">
        <f t="shared" si="57"/>
        <v>1</v>
      </c>
      <c r="I221" s="279" t="b">
        <f t="shared" si="57"/>
        <v>0</v>
      </c>
      <c r="J221" s="279" t="b">
        <f t="shared" si="57"/>
        <v>0</v>
      </c>
      <c r="K221" s="279" t="b">
        <f t="shared" si="57"/>
        <v>0</v>
      </c>
      <c r="L221" s="279" t="b">
        <f t="shared" si="57"/>
        <v>0</v>
      </c>
      <c r="M221" s="279"/>
      <c r="N221" s="279" t="b">
        <f t="shared" si="58"/>
        <v>0</v>
      </c>
      <c r="O221" s="279" t="b">
        <f t="shared" si="58"/>
        <v>0</v>
      </c>
      <c r="P221" s="279" t="b">
        <f t="shared" si="58"/>
        <v>1</v>
      </c>
      <c r="Q221" s="279" t="b">
        <f t="shared" si="59"/>
        <v>1</v>
      </c>
      <c r="AB221" s="279" t="b">
        <f t="shared" ref="AB221:AP221" si="74">AND($BG17=FALSE,AND(AB119&lt;&gt;"",AB119=FALSE),AB17="")</f>
        <v>1</v>
      </c>
      <c r="AC221" s="279" t="b">
        <f t="shared" si="74"/>
        <v>1</v>
      </c>
      <c r="AD221" s="279" t="b">
        <f t="shared" si="74"/>
        <v>1</v>
      </c>
      <c r="AE221" s="279" t="b">
        <f t="shared" si="74"/>
        <v>1</v>
      </c>
      <c r="AF221" s="279" t="b">
        <f t="shared" si="74"/>
        <v>1</v>
      </c>
      <c r="AG221" s="279" t="b">
        <f t="shared" si="74"/>
        <v>1</v>
      </c>
      <c r="AH221" s="279" t="b">
        <f t="shared" si="74"/>
        <v>1</v>
      </c>
      <c r="AI221" s="279" t="b">
        <f t="shared" si="74"/>
        <v>1</v>
      </c>
      <c r="AJ221" s="279" t="b">
        <f t="shared" si="74"/>
        <v>1</v>
      </c>
      <c r="AK221" s="279" t="b">
        <f t="shared" si="74"/>
        <v>1</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25">
      <c r="A222" s="275" t="s">
        <v>3</v>
      </c>
      <c r="C222" s="275">
        <v>9</v>
      </c>
      <c r="F222" s="279" t="b">
        <f t="shared" si="57"/>
        <v>1</v>
      </c>
      <c r="G222" s="279" t="b">
        <f t="shared" si="57"/>
        <v>0</v>
      </c>
      <c r="H222" s="279" t="b">
        <f t="shared" si="57"/>
        <v>1</v>
      </c>
      <c r="I222" s="279" t="b">
        <f t="shared" si="57"/>
        <v>0</v>
      </c>
      <c r="J222" s="279" t="b">
        <f t="shared" si="57"/>
        <v>0</v>
      </c>
      <c r="K222" s="279" t="b">
        <f t="shared" si="57"/>
        <v>0</v>
      </c>
      <c r="L222" s="279" t="b">
        <f t="shared" si="57"/>
        <v>0</v>
      </c>
      <c r="M222" s="279"/>
      <c r="N222" s="279" t="b">
        <f t="shared" si="58"/>
        <v>0</v>
      </c>
      <c r="O222" s="279" t="b">
        <f t="shared" si="58"/>
        <v>0</v>
      </c>
      <c r="P222" s="279" t="b">
        <f t="shared" si="58"/>
        <v>1</v>
      </c>
      <c r="Q222" s="279" t="b">
        <f t="shared" si="59"/>
        <v>1</v>
      </c>
      <c r="AB222" s="279" t="b">
        <f t="shared" ref="AB222:AP222" si="76">AND($BG18=FALSE,AND(AB120&lt;&gt;"",AB120=FALSE),AB18="")</f>
        <v>1</v>
      </c>
      <c r="AC222" s="279" t="b">
        <f t="shared" si="76"/>
        <v>1</v>
      </c>
      <c r="AD222" s="279" t="b">
        <f t="shared" si="76"/>
        <v>1</v>
      </c>
      <c r="AE222" s="279" t="b">
        <f t="shared" si="76"/>
        <v>1</v>
      </c>
      <c r="AF222" s="279" t="b">
        <f t="shared" si="76"/>
        <v>1</v>
      </c>
      <c r="AG222" s="279" t="b">
        <f t="shared" si="76"/>
        <v>1</v>
      </c>
      <c r="AH222" s="279" t="b">
        <f t="shared" si="76"/>
        <v>1</v>
      </c>
      <c r="AI222" s="279" t="b">
        <f t="shared" si="76"/>
        <v>1</v>
      </c>
      <c r="AJ222" s="279" t="b">
        <f t="shared" si="76"/>
        <v>1</v>
      </c>
      <c r="AK222" s="279" t="b">
        <f t="shared" si="76"/>
        <v>1</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25">
      <c r="A223" s="275" t="s">
        <v>3</v>
      </c>
      <c r="C223" s="275">
        <v>10</v>
      </c>
      <c r="F223" s="279" t="b">
        <f t="shared" si="57"/>
        <v>1</v>
      </c>
      <c r="G223" s="279" t="b">
        <f t="shared" si="57"/>
        <v>0</v>
      </c>
      <c r="H223" s="279" t="b">
        <f t="shared" si="57"/>
        <v>1</v>
      </c>
      <c r="I223" s="279" t="b">
        <f t="shared" si="57"/>
        <v>0</v>
      </c>
      <c r="J223" s="279" t="b">
        <f t="shared" si="57"/>
        <v>0</v>
      </c>
      <c r="K223" s="279" t="b">
        <f t="shared" si="57"/>
        <v>0</v>
      </c>
      <c r="L223" s="279" t="b">
        <f t="shared" si="57"/>
        <v>0</v>
      </c>
      <c r="M223" s="279"/>
      <c r="N223" s="279" t="b">
        <f t="shared" si="58"/>
        <v>0</v>
      </c>
      <c r="O223" s="279" t="b">
        <f t="shared" si="58"/>
        <v>0</v>
      </c>
      <c r="P223" s="279" t="b">
        <f t="shared" si="58"/>
        <v>1</v>
      </c>
      <c r="Q223" s="279" t="b">
        <f t="shared" si="59"/>
        <v>1</v>
      </c>
      <c r="AB223" s="279" t="b">
        <f t="shared" ref="AB223:AP223" si="78">AND($BG19=FALSE,AND(AB121&lt;&gt;"",AB121=FALSE),AB19="")</f>
        <v>1</v>
      </c>
      <c r="AC223" s="279" t="b">
        <f t="shared" si="78"/>
        <v>1</v>
      </c>
      <c r="AD223" s="279" t="b">
        <f t="shared" si="78"/>
        <v>1</v>
      </c>
      <c r="AE223" s="279" t="b">
        <f t="shared" si="78"/>
        <v>1</v>
      </c>
      <c r="AF223" s="279" t="b">
        <f t="shared" si="78"/>
        <v>1</v>
      </c>
      <c r="AG223" s="279" t="b">
        <f t="shared" si="78"/>
        <v>1</v>
      </c>
      <c r="AH223" s="279" t="b">
        <f t="shared" si="78"/>
        <v>1</v>
      </c>
      <c r="AI223" s="279" t="b">
        <f t="shared" si="78"/>
        <v>1</v>
      </c>
      <c r="AJ223" s="279" t="b">
        <f t="shared" si="78"/>
        <v>1</v>
      </c>
      <c r="AK223" s="279" t="b">
        <f t="shared" si="78"/>
        <v>1</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25">
      <c r="A224" s="275" t="s">
        <v>3</v>
      </c>
      <c r="C224" s="275">
        <v>11</v>
      </c>
      <c r="F224" s="279" t="b">
        <f t="shared" ref="F224:L233" si="80">AND($BG20=FALSE,AND(F122&lt;&gt;"",F122=FALSE),F20="")</f>
        <v>1</v>
      </c>
      <c r="G224" s="279" t="b">
        <f t="shared" si="80"/>
        <v>0</v>
      </c>
      <c r="H224" s="279" t="b">
        <f t="shared" si="80"/>
        <v>1</v>
      </c>
      <c r="I224" s="279" t="b">
        <f t="shared" si="80"/>
        <v>0</v>
      </c>
      <c r="J224" s="279" t="b">
        <f t="shared" si="80"/>
        <v>0</v>
      </c>
      <c r="K224" s="279" t="b">
        <f t="shared" si="80"/>
        <v>0</v>
      </c>
      <c r="L224" s="279" t="b">
        <f t="shared" si="80"/>
        <v>0</v>
      </c>
      <c r="M224" s="279"/>
      <c r="N224" s="279" t="b">
        <f t="shared" si="58"/>
        <v>0</v>
      </c>
      <c r="O224" s="279" t="b">
        <f t="shared" si="58"/>
        <v>0</v>
      </c>
      <c r="P224" s="279" t="b">
        <f t="shared" si="58"/>
        <v>1</v>
      </c>
      <c r="Q224" s="279" t="b">
        <f t="shared" si="59"/>
        <v>1</v>
      </c>
      <c r="AB224" s="279" t="b">
        <f t="shared" ref="AB224:AP224" si="81">AND($BG20=FALSE,AND(AB122&lt;&gt;"",AB122=FALSE),AB20="")</f>
        <v>1</v>
      </c>
      <c r="AC224" s="279" t="b">
        <f t="shared" si="81"/>
        <v>1</v>
      </c>
      <c r="AD224" s="279" t="b">
        <f t="shared" si="81"/>
        <v>1</v>
      </c>
      <c r="AE224" s="279" t="b">
        <f t="shared" si="81"/>
        <v>1</v>
      </c>
      <c r="AF224" s="279" t="b">
        <f t="shared" si="81"/>
        <v>1</v>
      </c>
      <c r="AG224" s="279" t="b">
        <f t="shared" si="81"/>
        <v>1</v>
      </c>
      <c r="AH224" s="279" t="b">
        <f t="shared" si="81"/>
        <v>1</v>
      </c>
      <c r="AI224" s="279" t="b">
        <f t="shared" si="81"/>
        <v>1</v>
      </c>
      <c r="AJ224" s="279" t="b">
        <f t="shared" si="81"/>
        <v>1</v>
      </c>
      <c r="AK224" s="279" t="b">
        <f t="shared" si="81"/>
        <v>1</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25">
      <c r="A225" s="275" t="s">
        <v>3</v>
      </c>
      <c r="C225" s="275">
        <v>12</v>
      </c>
      <c r="F225" s="279" t="b">
        <f t="shared" si="80"/>
        <v>1</v>
      </c>
      <c r="G225" s="279" t="b">
        <f t="shared" si="80"/>
        <v>0</v>
      </c>
      <c r="H225" s="279" t="b">
        <f t="shared" si="80"/>
        <v>1</v>
      </c>
      <c r="I225" s="279" t="b">
        <f t="shared" si="80"/>
        <v>0</v>
      </c>
      <c r="J225" s="279" t="b">
        <f t="shared" si="80"/>
        <v>0</v>
      </c>
      <c r="K225" s="279" t="b">
        <f t="shared" si="80"/>
        <v>0</v>
      </c>
      <c r="L225" s="279" t="b">
        <f t="shared" si="80"/>
        <v>0</v>
      </c>
      <c r="M225" s="279"/>
      <c r="N225" s="279" t="b">
        <f t="shared" si="58"/>
        <v>0</v>
      </c>
      <c r="O225" s="279" t="b">
        <f t="shared" si="58"/>
        <v>0</v>
      </c>
      <c r="P225" s="279" t="b">
        <f t="shared" si="58"/>
        <v>1</v>
      </c>
      <c r="Q225" s="279" t="b">
        <f t="shared" si="59"/>
        <v>1</v>
      </c>
      <c r="AB225" s="279" t="b">
        <f t="shared" ref="AB225:AP225" si="83">AND($BG21=FALSE,AND(AB123&lt;&gt;"",AB123=FALSE),AB21="")</f>
        <v>1</v>
      </c>
      <c r="AC225" s="279" t="b">
        <f t="shared" si="83"/>
        <v>1</v>
      </c>
      <c r="AD225" s="279" t="b">
        <f t="shared" si="83"/>
        <v>1</v>
      </c>
      <c r="AE225" s="279" t="b">
        <f t="shared" si="83"/>
        <v>1</v>
      </c>
      <c r="AF225" s="279" t="b">
        <f t="shared" si="83"/>
        <v>1</v>
      </c>
      <c r="AG225" s="279" t="b">
        <f t="shared" si="83"/>
        <v>1</v>
      </c>
      <c r="AH225" s="279" t="b">
        <f t="shared" si="83"/>
        <v>1</v>
      </c>
      <c r="AI225" s="279" t="b">
        <f t="shared" si="83"/>
        <v>1</v>
      </c>
      <c r="AJ225" s="279" t="b">
        <f t="shared" si="83"/>
        <v>1</v>
      </c>
      <c r="AK225" s="279" t="b">
        <f t="shared" si="83"/>
        <v>1</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25">
      <c r="A226" s="275" t="s">
        <v>3</v>
      </c>
      <c r="C226" s="275">
        <v>13</v>
      </c>
      <c r="F226" s="279" t="b">
        <f t="shared" si="80"/>
        <v>1</v>
      </c>
      <c r="G226" s="279" t="b">
        <f t="shared" si="80"/>
        <v>0</v>
      </c>
      <c r="H226" s="279" t="b">
        <f t="shared" si="80"/>
        <v>1</v>
      </c>
      <c r="I226" s="279" t="b">
        <f t="shared" si="80"/>
        <v>0</v>
      </c>
      <c r="J226" s="279" t="b">
        <f t="shared" si="80"/>
        <v>0</v>
      </c>
      <c r="K226" s="279" t="b">
        <f t="shared" si="80"/>
        <v>0</v>
      </c>
      <c r="L226" s="279" t="b">
        <f t="shared" si="80"/>
        <v>0</v>
      </c>
      <c r="M226" s="279"/>
      <c r="N226" s="279" t="b">
        <f t="shared" si="58"/>
        <v>0</v>
      </c>
      <c r="O226" s="279" t="b">
        <f t="shared" si="58"/>
        <v>0</v>
      </c>
      <c r="P226" s="279" t="b">
        <f t="shared" si="58"/>
        <v>1</v>
      </c>
      <c r="Q226" s="279" t="b">
        <f t="shared" si="59"/>
        <v>1</v>
      </c>
      <c r="AB226" s="279" t="b">
        <f t="shared" ref="AB226:AP226" si="85">AND($BG22=FALSE,AND(AB124&lt;&gt;"",AB124=FALSE),AB22="")</f>
        <v>1</v>
      </c>
      <c r="AC226" s="279" t="b">
        <f t="shared" si="85"/>
        <v>1</v>
      </c>
      <c r="AD226" s="279" t="b">
        <f t="shared" si="85"/>
        <v>1</v>
      </c>
      <c r="AE226" s="279" t="b">
        <f t="shared" si="85"/>
        <v>1</v>
      </c>
      <c r="AF226" s="279" t="b">
        <f t="shared" si="85"/>
        <v>1</v>
      </c>
      <c r="AG226" s="279" t="b">
        <f t="shared" si="85"/>
        <v>1</v>
      </c>
      <c r="AH226" s="279" t="b">
        <f t="shared" si="85"/>
        <v>1</v>
      </c>
      <c r="AI226" s="279" t="b">
        <f t="shared" si="85"/>
        <v>1</v>
      </c>
      <c r="AJ226" s="279" t="b">
        <f t="shared" si="85"/>
        <v>1</v>
      </c>
      <c r="AK226" s="279" t="b">
        <f t="shared" si="85"/>
        <v>1</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25">
      <c r="A227" s="275" t="s">
        <v>3</v>
      </c>
      <c r="C227" s="275">
        <v>14</v>
      </c>
      <c r="F227" s="279" t="b">
        <f t="shared" si="80"/>
        <v>1</v>
      </c>
      <c r="G227" s="279" t="b">
        <f t="shared" si="80"/>
        <v>0</v>
      </c>
      <c r="H227" s="279" t="b">
        <f t="shared" si="80"/>
        <v>1</v>
      </c>
      <c r="I227" s="279" t="b">
        <f t="shared" si="80"/>
        <v>0</v>
      </c>
      <c r="J227" s="279" t="b">
        <f t="shared" si="80"/>
        <v>0</v>
      </c>
      <c r="K227" s="279" t="b">
        <f t="shared" si="80"/>
        <v>0</v>
      </c>
      <c r="L227" s="279" t="b">
        <f t="shared" si="80"/>
        <v>0</v>
      </c>
      <c r="M227" s="279"/>
      <c r="N227" s="279" t="b">
        <f t="shared" si="58"/>
        <v>0</v>
      </c>
      <c r="O227" s="279" t="b">
        <f t="shared" si="58"/>
        <v>0</v>
      </c>
      <c r="P227" s="279" t="b">
        <f t="shared" si="58"/>
        <v>1</v>
      </c>
      <c r="Q227" s="279" t="b">
        <f t="shared" si="59"/>
        <v>1</v>
      </c>
      <c r="AB227" s="279" t="b">
        <f t="shared" ref="AB227:AP227" si="87">AND($BG23=FALSE,AND(AB125&lt;&gt;"",AB125=FALSE),AB23="")</f>
        <v>1</v>
      </c>
      <c r="AC227" s="279" t="b">
        <f t="shared" si="87"/>
        <v>1</v>
      </c>
      <c r="AD227" s="279" t="b">
        <f t="shared" si="87"/>
        <v>1</v>
      </c>
      <c r="AE227" s="279" t="b">
        <f t="shared" si="87"/>
        <v>1</v>
      </c>
      <c r="AF227" s="279" t="b">
        <f t="shared" si="87"/>
        <v>1</v>
      </c>
      <c r="AG227" s="279" t="b">
        <f t="shared" si="87"/>
        <v>1</v>
      </c>
      <c r="AH227" s="279" t="b">
        <f t="shared" si="87"/>
        <v>1</v>
      </c>
      <c r="AI227" s="279" t="b">
        <f t="shared" si="87"/>
        <v>1</v>
      </c>
      <c r="AJ227" s="279" t="b">
        <f t="shared" si="87"/>
        <v>1</v>
      </c>
      <c r="AK227" s="279" t="b">
        <f t="shared" si="87"/>
        <v>1</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25">
      <c r="A228" s="275" t="s">
        <v>3</v>
      </c>
      <c r="C228" s="275">
        <v>15</v>
      </c>
      <c r="F228" s="279" t="b">
        <f t="shared" si="80"/>
        <v>1</v>
      </c>
      <c r="G228" s="279" t="b">
        <f t="shared" si="80"/>
        <v>0</v>
      </c>
      <c r="H228" s="279" t="b">
        <f t="shared" si="80"/>
        <v>1</v>
      </c>
      <c r="I228" s="279" t="b">
        <f t="shared" si="80"/>
        <v>0</v>
      </c>
      <c r="J228" s="279" t="b">
        <f t="shared" si="80"/>
        <v>0</v>
      </c>
      <c r="K228" s="279" t="b">
        <f t="shared" si="80"/>
        <v>0</v>
      </c>
      <c r="L228" s="279" t="b">
        <f t="shared" si="80"/>
        <v>0</v>
      </c>
      <c r="M228" s="279"/>
      <c r="N228" s="279" t="b">
        <f t="shared" si="58"/>
        <v>0</v>
      </c>
      <c r="O228" s="279" t="b">
        <f t="shared" si="58"/>
        <v>0</v>
      </c>
      <c r="P228" s="279" t="b">
        <f t="shared" si="58"/>
        <v>1</v>
      </c>
      <c r="Q228" s="279" t="b">
        <f t="shared" si="59"/>
        <v>1</v>
      </c>
      <c r="AB228" s="279" t="b">
        <f t="shared" ref="AB228:AP228" si="89">AND($BG24=FALSE,AND(AB126&lt;&gt;"",AB126=FALSE),AB24="")</f>
        <v>1</v>
      </c>
      <c r="AC228" s="279" t="b">
        <f t="shared" si="89"/>
        <v>1</v>
      </c>
      <c r="AD228" s="279" t="b">
        <f t="shared" si="89"/>
        <v>1</v>
      </c>
      <c r="AE228" s="279" t="b">
        <f t="shared" si="89"/>
        <v>1</v>
      </c>
      <c r="AF228" s="279" t="b">
        <f t="shared" si="89"/>
        <v>1</v>
      </c>
      <c r="AG228" s="279" t="b">
        <f t="shared" si="89"/>
        <v>1</v>
      </c>
      <c r="AH228" s="279" t="b">
        <f t="shared" si="89"/>
        <v>1</v>
      </c>
      <c r="AI228" s="279" t="b">
        <f t="shared" si="89"/>
        <v>1</v>
      </c>
      <c r="AJ228" s="279" t="b">
        <f t="shared" si="89"/>
        <v>1</v>
      </c>
      <c r="AK228" s="279" t="b">
        <f t="shared" si="89"/>
        <v>1</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25">
      <c r="A229" s="275" t="s">
        <v>3</v>
      </c>
      <c r="C229" s="275">
        <v>16</v>
      </c>
      <c r="F229" s="279" t="b">
        <f t="shared" si="80"/>
        <v>1</v>
      </c>
      <c r="G229" s="279" t="b">
        <f t="shared" si="80"/>
        <v>0</v>
      </c>
      <c r="H229" s="279" t="b">
        <f t="shared" si="80"/>
        <v>1</v>
      </c>
      <c r="I229" s="279" t="b">
        <f t="shared" si="80"/>
        <v>0</v>
      </c>
      <c r="J229" s="279" t="b">
        <f t="shared" si="80"/>
        <v>0</v>
      </c>
      <c r="K229" s="279" t="b">
        <f t="shared" si="80"/>
        <v>0</v>
      </c>
      <c r="L229" s="279" t="b">
        <f t="shared" si="80"/>
        <v>0</v>
      </c>
      <c r="M229" s="279"/>
      <c r="N229" s="279" t="b">
        <f t="shared" si="58"/>
        <v>0</v>
      </c>
      <c r="O229" s="279" t="b">
        <f t="shared" si="58"/>
        <v>0</v>
      </c>
      <c r="P229" s="279" t="b">
        <f t="shared" si="58"/>
        <v>1</v>
      </c>
      <c r="Q229" s="279" t="b">
        <f t="shared" si="59"/>
        <v>1</v>
      </c>
      <c r="AB229" s="279" t="b">
        <f t="shared" ref="AB229:AP229" si="91">AND($BG25=FALSE,AND(AB127&lt;&gt;"",AB127=FALSE),AB25="")</f>
        <v>1</v>
      </c>
      <c r="AC229" s="279" t="b">
        <f t="shared" si="91"/>
        <v>1</v>
      </c>
      <c r="AD229" s="279" t="b">
        <f t="shared" si="91"/>
        <v>1</v>
      </c>
      <c r="AE229" s="279" t="b">
        <f t="shared" si="91"/>
        <v>1</v>
      </c>
      <c r="AF229" s="279" t="b">
        <f t="shared" si="91"/>
        <v>1</v>
      </c>
      <c r="AG229" s="279" t="b">
        <f t="shared" si="91"/>
        <v>1</v>
      </c>
      <c r="AH229" s="279" t="b">
        <f t="shared" si="91"/>
        <v>1</v>
      </c>
      <c r="AI229" s="279" t="b">
        <f t="shared" si="91"/>
        <v>1</v>
      </c>
      <c r="AJ229" s="279" t="b">
        <f t="shared" si="91"/>
        <v>1</v>
      </c>
      <c r="AK229" s="279" t="b">
        <f t="shared" si="91"/>
        <v>1</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25">
      <c r="A230" s="275" t="s">
        <v>3</v>
      </c>
      <c r="C230" s="275">
        <v>17</v>
      </c>
      <c r="F230" s="279" t="b">
        <f t="shared" si="80"/>
        <v>1</v>
      </c>
      <c r="G230" s="279" t="b">
        <f t="shared" si="80"/>
        <v>0</v>
      </c>
      <c r="H230" s="279" t="b">
        <f t="shared" si="80"/>
        <v>1</v>
      </c>
      <c r="I230" s="279" t="b">
        <f t="shared" si="80"/>
        <v>0</v>
      </c>
      <c r="J230" s="279" t="b">
        <f t="shared" si="80"/>
        <v>0</v>
      </c>
      <c r="K230" s="279" t="b">
        <f t="shared" si="80"/>
        <v>0</v>
      </c>
      <c r="L230" s="279" t="b">
        <f t="shared" si="80"/>
        <v>0</v>
      </c>
      <c r="M230" s="279"/>
      <c r="N230" s="279" t="b">
        <f t="shared" si="58"/>
        <v>0</v>
      </c>
      <c r="O230" s="279" t="b">
        <f t="shared" si="58"/>
        <v>0</v>
      </c>
      <c r="P230" s="279" t="b">
        <f t="shared" si="58"/>
        <v>1</v>
      </c>
      <c r="Q230" s="279" t="b">
        <f t="shared" si="59"/>
        <v>1</v>
      </c>
      <c r="AB230" s="279" t="b">
        <f t="shared" ref="AB230:AP230" si="93">AND($BG26=FALSE,AND(AB128&lt;&gt;"",AB128=FALSE),AB26="")</f>
        <v>1</v>
      </c>
      <c r="AC230" s="279" t="b">
        <f t="shared" si="93"/>
        <v>1</v>
      </c>
      <c r="AD230" s="279" t="b">
        <f t="shared" si="93"/>
        <v>1</v>
      </c>
      <c r="AE230" s="279" t="b">
        <f t="shared" si="93"/>
        <v>1</v>
      </c>
      <c r="AF230" s="279" t="b">
        <f t="shared" si="93"/>
        <v>1</v>
      </c>
      <c r="AG230" s="279" t="b">
        <f t="shared" si="93"/>
        <v>1</v>
      </c>
      <c r="AH230" s="279" t="b">
        <f t="shared" si="93"/>
        <v>1</v>
      </c>
      <c r="AI230" s="279" t="b">
        <f t="shared" si="93"/>
        <v>1</v>
      </c>
      <c r="AJ230" s="279" t="b">
        <f t="shared" si="93"/>
        <v>1</v>
      </c>
      <c r="AK230" s="279" t="b">
        <f t="shared" si="93"/>
        <v>1</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25">
      <c r="A231" s="275" t="s">
        <v>3</v>
      </c>
      <c r="C231" s="275">
        <v>18</v>
      </c>
      <c r="F231" s="279" t="b">
        <f t="shared" si="80"/>
        <v>1</v>
      </c>
      <c r="G231" s="279" t="b">
        <f t="shared" si="80"/>
        <v>0</v>
      </c>
      <c r="H231" s="279" t="b">
        <f t="shared" si="80"/>
        <v>1</v>
      </c>
      <c r="I231" s="279" t="b">
        <f t="shared" si="80"/>
        <v>0</v>
      </c>
      <c r="J231" s="279" t="b">
        <f t="shared" si="80"/>
        <v>0</v>
      </c>
      <c r="K231" s="279" t="b">
        <f t="shared" si="80"/>
        <v>0</v>
      </c>
      <c r="L231" s="279" t="b">
        <f t="shared" si="80"/>
        <v>0</v>
      </c>
      <c r="M231" s="279"/>
      <c r="N231" s="279" t="b">
        <f t="shared" si="58"/>
        <v>0</v>
      </c>
      <c r="O231" s="279" t="b">
        <f t="shared" si="58"/>
        <v>0</v>
      </c>
      <c r="P231" s="279" t="b">
        <f t="shared" si="58"/>
        <v>1</v>
      </c>
      <c r="Q231" s="279" t="b">
        <f t="shared" si="59"/>
        <v>1</v>
      </c>
      <c r="AB231" s="279" t="b">
        <f t="shared" ref="AB231:AP231" si="95">AND($BG27=FALSE,AND(AB129&lt;&gt;"",AB129=FALSE),AB27="")</f>
        <v>1</v>
      </c>
      <c r="AC231" s="279" t="b">
        <f t="shared" si="95"/>
        <v>1</v>
      </c>
      <c r="AD231" s="279" t="b">
        <f t="shared" si="95"/>
        <v>1</v>
      </c>
      <c r="AE231" s="279" t="b">
        <f t="shared" si="95"/>
        <v>1</v>
      </c>
      <c r="AF231" s="279" t="b">
        <f t="shared" si="95"/>
        <v>1</v>
      </c>
      <c r="AG231" s="279" t="b">
        <f t="shared" si="95"/>
        <v>1</v>
      </c>
      <c r="AH231" s="279" t="b">
        <f t="shared" si="95"/>
        <v>1</v>
      </c>
      <c r="AI231" s="279" t="b">
        <f t="shared" si="95"/>
        <v>1</v>
      </c>
      <c r="AJ231" s="279" t="b">
        <f t="shared" si="95"/>
        <v>1</v>
      </c>
      <c r="AK231" s="279" t="b">
        <f t="shared" si="95"/>
        <v>1</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25">
      <c r="A232" s="275" t="s">
        <v>3</v>
      </c>
      <c r="C232" s="275">
        <v>19</v>
      </c>
      <c r="F232" s="279" t="b">
        <f t="shared" si="80"/>
        <v>1</v>
      </c>
      <c r="G232" s="279" t="b">
        <f t="shared" si="80"/>
        <v>0</v>
      </c>
      <c r="H232" s="279" t="b">
        <f t="shared" si="80"/>
        <v>1</v>
      </c>
      <c r="I232" s="279" t="b">
        <f t="shared" si="80"/>
        <v>0</v>
      </c>
      <c r="J232" s="279" t="b">
        <f t="shared" si="80"/>
        <v>0</v>
      </c>
      <c r="K232" s="279" t="b">
        <f t="shared" si="80"/>
        <v>0</v>
      </c>
      <c r="L232" s="279" t="b">
        <f t="shared" si="80"/>
        <v>0</v>
      </c>
      <c r="M232" s="279"/>
      <c r="N232" s="279" t="b">
        <f t="shared" si="58"/>
        <v>0</v>
      </c>
      <c r="O232" s="279" t="b">
        <f t="shared" si="58"/>
        <v>0</v>
      </c>
      <c r="P232" s="279" t="b">
        <f t="shared" si="58"/>
        <v>1</v>
      </c>
      <c r="Q232" s="279" t="b">
        <f t="shared" si="59"/>
        <v>1</v>
      </c>
      <c r="AB232" s="279" t="b">
        <f t="shared" ref="AB232:AP232" si="97">AND($BG28=FALSE,AND(AB130&lt;&gt;"",AB130=FALSE),AB28="")</f>
        <v>1</v>
      </c>
      <c r="AC232" s="279" t="b">
        <f t="shared" si="97"/>
        <v>1</v>
      </c>
      <c r="AD232" s="279" t="b">
        <f t="shared" si="97"/>
        <v>1</v>
      </c>
      <c r="AE232" s="279" t="b">
        <f t="shared" si="97"/>
        <v>1</v>
      </c>
      <c r="AF232" s="279" t="b">
        <f t="shared" si="97"/>
        <v>1</v>
      </c>
      <c r="AG232" s="279" t="b">
        <f t="shared" si="97"/>
        <v>1</v>
      </c>
      <c r="AH232" s="279" t="b">
        <f t="shared" si="97"/>
        <v>1</v>
      </c>
      <c r="AI232" s="279" t="b">
        <f t="shared" si="97"/>
        <v>1</v>
      </c>
      <c r="AJ232" s="279" t="b">
        <f t="shared" si="97"/>
        <v>1</v>
      </c>
      <c r="AK232" s="279" t="b">
        <f t="shared" si="97"/>
        <v>1</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25">
      <c r="A233" s="275" t="s">
        <v>3</v>
      </c>
      <c r="C233" s="275">
        <v>20</v>
      </c>
      <c r="F233" s="279" t="b">
        <f t="shared" si="80"/>
        <v>1</v>
      </c>
      <c r="G233" s="279" t="b">
        <f t="shared" si="80"/>
        <v>0</v>
      </c>
      <c r="H233" s="279" t="b">
        <f t="shared" si="80"/>
        <v>1</v>
      </c>
      <c r="I233" s="279" t="b">
        <f t="shared" si="80"/>
        <v>0</v>
      </c>
      <c r="J233" s="279" t="b">
        <f t="shared" si="80"/>
        <v>0</v>
      </c>
      <c r="K233" s="279" t="b">
        <f t="shared" si="80"/>
        <v>0</v>
      </c>
      <c r="L233" s="279" t="b">
        <f t="shared" si="80"/>
        <v>0</v>
      </c>
      <c r="M233" s="279"/>
      <c r="N233" s="279" t="b">
        <f t="shared" si="58"/>
        <v>0</v>
      </c>
      <c r="O233" s="279" t="b">
        <f t="shared" si="58"/>
        <v>0</v>
      </c>
      <c r="P233" s="279" t="b">
        <f t="shared" si="58"/>
        <v>1</v>
      </c>
      <c r="Q233" s="279" t="b">
        <f t="shared" si="59"/>
        <v>1</v>
      </c>
      <c r="AB233" s="279" t="b">
        <f t="shared" ref="AB233:AP233" si="99">AND($BG29=FALSE,AND(AB131&lt;&gt;"",AB131=FALSE),AB29="")</f>
        <v>1</v>
      </c>
      <c r="AC233" s="279" t="b">
        <f t="shared" si="99"/>
        <v>1</v>
      </c>
      <c r="AD233" s="279" t="b">
        <f t="shared" si="99"/>
        <v>1</v>
      </c>
      <c r="AE233" s="279" t="b">
        <f t="shared" si="99"/>
        <v>1</v>
      </c>
      <c r="AF233" s="279" t="b">
        <f t="shared" si="99"/>
        <v>1</v>
      </c>
      <c r="AG233" s="279" t="b">
        <f t="shared" si="99"/>
        <v>1</v>
      </c>
      <c r="AH233" s="279" t="b">
        <f t="shared" si="99"/>
        <v>1</v>
      </c>
      <c r="AI233" s="279" t="b">
        <f t="shared" si="99"/>
        <v>1</v>
      </c>
      <c r="AJ233" s="279" t="b">
        <f t="shared" si="99"/>
        <v>1</v>
      </c>
      <c r="AK233" s="279" t="b">
        <f t="shared" si="99"/>
        <v>1</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25">
      <c r="A234" s="275" t="s">
        <v>3</v>
      </c>
      <c r="C234" s="275">
        <v>21</v>
      </c>
      <c r="F234" s="279" t="b">
        <f t="shared" ref="F234:L243" si="101">AND($BG30=FALSE,AND(F132&lt;&gt;"",F132=FALSE),F30="")</f>
        <v>1</v>
      </c>
      <c r="G234" s="279" t="b">
        <f t="shared" si="101"/>
        <v>0</v>
      </c>
      <c r="H234" s="279" t="b">
        <f t="shared" si="101"/>
        <v>1</v>
      </c>
      <c r="I234" s="279" t="b">
        <f t="shared" si="101"/>
        <v>0</v>
      </c>
      <c r="J234" s="279" t="b">
        <f t="shared" si="101"/>
        <v>0</v>
      </c>
      <c r="K234" s="279" t="b">
        <f t="shared" si="101"/>
        <v>0</v>
      </c>
      <c r="L234" s="279" t="b">
        <f t="shared" si="101"/>
        <v>0</v>
      </c>
      <c r="M234" s="279"/>
      <c r="N234" s="279" t="b">
        <f t="shared" si="58"/>
        <v>0</v>
      </c>
      <c r="O234" s="279" t="b">
        <f t="shared" si="58"/>
        <v>0</v>
      </c>
      <c r="P234" s="279" t="b">
        <f t="shared" si="58"/>
        <v>1</v>
      </c>
      <c r="Q234" s="279" t="b">
        <f t="shared" si="59"/>
        <v>1</v>
      </c>
      <c r="AB234" s="279" t="b">
        <f t="shared" ref="AB234:AP234" si="102">AND($BG30=FALSE,AND(AB132&lt;&gt;"",AB132=FALSE),AB30="")</f>
        <v>1</v>
      </c>
      <c r="AC234" s="279" t="b">
        <f t="shared" si="102"/>
        <v>1</v>
      </c>
      <c r="AD234" s="279" t="b">
        <f t="shared" si="102"/>
        <v>1</v>
      </c>
      <c r="AE234" s="279" t="b">
        <f t="shared" si="102"/>
        <v>1</v>
      </c>
      <c r="AF234" s="279" t="b">
        <f t="shared" si="102"/>
        <v>1</v>
      </c>
      <c r="AG234" s="279" t="b">
        <f t="shared" si="102"/>
        <v>1</v>
      </c>
      <c r="AH234" s="279" t="b">
        <f t="shared" si="102"/>
        <v>1</v>
      </c>
      <c r="AI234" s="279" t="b">
        <f t="shared" si="102"/>
        <v>1</v>
      </c>
      <c r="AJ234" s="279" t="b">
        <f t="shared" si="102"/>
        <v>1</v>
      </c>
      <c r="AK234" s="279" t="b">
        <f t="shared" si="102"/>
        <v>1</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25">
      <c r="A235" s="275" t="s">
        <v>3</v>
      </c>
      <c r="C235" s="275">
        <v>22</v>
      </c>
      <c r="F235" s="279" t="b">
        <f t="shared" si="101"/>
        <v>1</v>
      </c>
      <c r="G235" s="279" t="b">
        <f t="shared" si="101"/>
        <v>0</v>
      </c>
      <c r="H235" s="279" t="b">
        <f t="shared" si="101"/>
        <v>1</v>
      </c>
      <c r="I235" s="279" t="b">
        <f t="shared" si="101"/>
        <v>0</v>
      </c>
      <c r="J235" s="279" t="b">
        <f t="shared" si="101"/>
        <v>0</v>
      </c>
      <c r="K235" s="279" t="b">
        <f t="shared" si="101"/>
        <v>0</v>
      </c>
      <c r="L235" s="279" t="b">
        <f t="shared" si="101"/>
        <v>0</v>
      </c>
      <c r="M235" s="279"/>
      <c r="N235" s="279" t="b">
        <f t="shared" si="58"/>
        <v>0</v>
      </c>
      <c r="O235" s="279" t="b">
        <f t="shared" si="58"/>
        <v>0</v>
      </c>
      <c r="P235" s="279" t="b">
        <f t="shared" si="58"/>
        <v>1</v>
      </c>
      <c r="Q235" s="279" t="b">
        <f t="shared" si="59"/>
        <v>1</v>
      </c>
      <c r="AB235" s="279" t="b">
        <f t="shared" ref="AB235:AP235" si="104">AND($BG31=FALSE,AND(AB133&lt;&gt;"",AB133=FALSE),AB31="")</f>
        <v>1</v>
      </c>
      <c r="AC235" s="279" t="b">
        <f t="shared" si="104"/>
        <v>1</v>
      </c>
      <c r="AD235" s="279" t="b">
        <f t="shared" si="104"/>
        <v>1</v>
      </c>
      <c r="AE235" s="279" t="b">
        <f t="shared" si="104"/>
        <v>1</v>
      </c>
      <c r="AF235" s="279" t="b">
        <f t="shared" si="104"/>
        <v>1</v>
      </c>
      <c r="AG235" s="279" t="b">
        <f t="shared" si="104"/>
        <v>1</v>
      </c>
      <c r="AH235" s="279" t="b">
        <f t="shared" si="104"/>
        <v>1</v>
      </c>
      <c r="AI235" s="279" t="b">
        <f t="shared" si="104"/>
        <v>1</v>
      </c>
      <c r="AJ235" s="279" t="b">
        <f t="shared" si="104"/>
        <v>1</v>
      </c>
      <c r="AK235" s="279" t="b">
        <f t="shared" si="104"/>
        <v>1</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25">
      <c r="A236" s="275" t="s">
        <v>3</v>
      </c>
      <c r="C236" s="275">
        <v>23</v>
      </c>
      <c r="F236" s="279" t="b">
        <f t="shared" si="101"/>
        <v>1</v>
      </c>
      <c r="G236" s="279" t="b">
        <f t="shared" si="101"/>
        <v>0</v>
      </c>
      <c r="H236" s="279" t="b">
        <f t="shared" si="101"/>
        <v>1</v>
      </c>
      <c r="I236" s="279" t="b">
        <f t="shared" si="101"/>
        <v>0</v>
      </c>
      <c r="J236" s="279" t="b">
        <f t="shared" si="101"/>
        <v>0</v>
      </c>
      <c r="K236" s="279" t="b">
        <f t="shared" si="101"/>
        <v>0</v>
      </c>
      <c r="L236" s="279" t="b">
        <f t="shared" si="101"/>
        <v>0</v>
      </c>
      <c r="M236" s="279"/>
      <c r="N236" s="279" t="b">
        <f t="shared" si="58"/>
        <v>0</v>
      </c>
      <c r="O236" s="279" t="b">
        <f t="shared" si="58"/>
        <v>0</v>
      </c>
      <c r="P236" s="279" t="b">
        <f t="shared" si="58"/>
        <v>1</v>
      </c>
      <c r="Q236" s="279" t="b">
        <f t="shared" si="59"/>
        <v>1</v>
      </c>
      <c r="AB236" s="279" t="b">
        <f t="shared" ref="AB236:AP236" si="106">AND($BG32=FALSE,AND(AB134&lt;&gt;"",AB134=FALSE),AB32="")</f>
        <v>1</v>
      </c>
      <c r="AC236" s="279" t="b">
        <f t="shared" si="106"/>
        <v>1</v>
      </c>
      <c r="AD236" s="279" t="b">
        <f t="shared" si="106"/>
        <v>1</v>
      </c>
      <c r="AE236" s="279" t="b">
        <f t="shared" si="106"/>
        <v>1</v>
      </c>
      <c r="AF236" s="279" t="b">
        <f t="shared" si="106"/>
        <v>1</v>
      </c>
      <c r="AG236" s="279" t="b">
        <f t="shared" si="106"/>
        <v>1</v>
      </c>
      <c r="AH236" s="279" t="b">
        <f t="shared" si="106"/>
        <v>1</v>
      </c>
      <c r="AI236" s="279" t="b">
        <f t="shared" si="106"/>
        <v>1</v>
      </c>
      <c r="AJ236" s="279" t="b">
        <f t="shared" si="106"/>
        <v>1</v>
      </c>
      <c r="AK236" s="279" t="b">
        <f t="shared" si="106"/>
        <v>1</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25">
      <c r="A237" s="275" t="s">
        <v>3</v>
      </c>
      <c r="C237" s="275">
        <v>24</v>
      </c>
      <c r="F237" s="279" t="b">
        <f t="shared" si="101"/>
        <v>1</v>
      </c>
      <c r="G237" s="279" t="b">
        <f t="shared" si="101"/>
        <v>0</v>
      </c>
      <c r="H237" s="279" t="b">
        <f t="shared" si="101"/>
        <v>1</v>
      </c>
      <c r="I237" s="279" t="b">
        <f t="shared" si="101"/>
        <v>0</v>
      </c>
      <c r="J237" s="279" t="b">
        <f t="shared" si="101"/>
        <v>0</v>
      </c>
      <c r="K237" s="279" t="b">
        <f t="shared" si="101"/>
        <v>0</v>
      </c>
      <c r="L237" s="279" t="b">
        <f t="shared" si="101"/>
        <v>0</v>
      </c>
      <c r="M237" s="279"/>
      <c r="N237" s="279" t="b">
        <f t="shared" si="58"/>
        <v>0</v>
      </c>
      <c r="O237" s="279" t="b">
        <f t="shared" si="58"/>
        <v>0</v>
      </c>
      <c r="P237" s="279" t="b">
        <f t="shared" si="58"/>
        <v>1</v>
      </c>
      <c r="Q237" s="279" t="b">
        <f t="shared" si="59"/>
        <v>1</v>
      </c>
      <c r="AB237" s="279" t="b">
        <f t="shared" ref="AB237:AP237" si="108">AND($BG33=FALSE,AND(AB135&lt;&gt;"",AB135=FALSE),AB33="")</f>
        <v>1</v>
      </c>
      <c r="AC237" s="279" t="b">
        <f t="shared" si="108"/>
        <v>1</v>
      </c>
      <c r="AD237" s="279" t="b">
        <f t="shared" si="108"/>
        <v>1</v>
      </c>
      <c r="AE237" s="279" t="b">
        <f t="shared" si="108"/>
        <v>1</v>
      </c>
      <c r="AF237" s="279" t="b">
        <f t="shared" si="108"/>
        <v>1</v>
      </c>
      <c r="AG237" s="279" t="b">
        <f t="shared" si="108"/>
        <v>1</v>
      </c>
      <c r="AH237" s="279" t="b">
        <f t="shared" si="108"/>
        <v>1</v>
      </c>
      <c r="AI237" s="279" t="b">
        <f t="shared" si="108"/>
        <v>1</v>
      </c>
      <c r="AJ237" s="279" t="b">
        <f t="shared" si="108"/>
        <v>1</v>
      </c>
      <c r="AK237" s="279" t="b">
        <f t="shared" si="108"/>
        <v>1</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25">
      <c r="A238" s="275" t="s">
        <v>3</v>
      </c>
      <c r="C238" s="275">
        <v>25</v>
      </c>
      <c r="F238" s="279" t="b">
        <f t="shared" si="101"/>
        <v>1</v>
      </c>
      <c r="G238" s="279" t="b">
        <f t="shared" si="101"/>
        <v>0</v>
      </c>
      <c r="H238" s="279" t="b">
        <f t="shared" si="101"/>
        <v>1</v>
      </c>
      <c r="I238" s="279" t="b">
        <f t="shared" si="101"/>
        <v>0</v>
      </c>
      <c r="J238" s="279" t="b">
        <f t="shared" si="101"/>
        <v>0</v>
      </c>
      <c r="K238" s="279" t="b">
        <f t="shared" si="101"/>
        <v>0</v>
      </c>
      <c r="L238" s="279" t="b">
        <f t="shared" si="101"/>
        <v>0</v>
      </c>
      <c r="M238" s="279"/>
      <c r="N238" s="279" t="b">
        <f t="shared" si="58"/>
        <v>0</v>
      </c>
      <c r="O238" s="279" t="b">
        <f t="shared" si="58"/>
        <v>0</v>
      </c>
      <c r="P238" s="279" t="b">
        <f t="shared" si="58"/>
        <v>1</v>
      </c>
      <c r="Q238" s="279" t="b">
        <f t="shared" si="59"/>
        <v>1</v>
      </c>
      <c r="AB238" s="279" t="b">
        <f t="shared" ref="AB238:AP238" si="110">AND($BG34=FALSE,AND(AB136&lt;&gt;"",AB136=FALSE),AB34="")</f>
        <v>1</v>
      </c>
      <c r="AC238" s="279" t="b">
        <f t="shared" si="110"/>
        <v>1</v>
      </c>
      <c r="AD238" s="279" t="b">
        <f t="shared" si="110"/>
        <v>1</v>
      </c>
      <c r="AE238" s="279" t="b">
        <f t="shared" si="110"/>
        <v>1</v>
      </c>
      <c r="AF238" s="279" t="b">
        <f t="shared" si="110"/>
        <v>1</v>
      </c>
      <c r="AG238" s="279" t="b">
        <f t="shared" si="110"/>
        <v>1</v>
      </c>
      <c r="AH238" s="279" t="b">
        <f t="shared" si="110"/>
        <v>1</v>
      </c>
      <c r="AI238" s="279" t="b">
        <f t="shared" si="110"/>
        <v>1</v>
      </c>
      <c r="AJ238" s="279" t="b">
        <f t="shared" si="110"/>
        <v>1</v>
      </c>
      <c r="AK238" s="279" t="b">
        <f t="shared" si="110"/>
        <v>1</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25">
      <c r="A239" s="275" t="s">
        <v>3</v>
      </c>
      <c r="C239" s="275">
        <v>26</v>
      </c>
      <c r="F239" s="279" t="b">
        <f t="shared" si="101"/>
        <v>1</v>
      </c>
      <c r="G239" s="279" t="b">
        <f t="shared" si="101"/>
        <v>0</v>
      </c>
      <c r="H239" s="279" t="b">
        <f t="shared" si="101"/>
        <v>1</v>
      </c>
      <c r="I239" s="279" t="b">
        <f t="shared" si="101"/>
        <v>0</v>
      </c>
      <c r="J239" s="279" t="b">
        <f t="shared" si="101"/>
        <v>0</v>
      </c>
      <c r="K239" s="279" t="b">
        <f t="shared" si="101"/>
        <v>0</v>
      </c>
      <c r="L239" s="279" t="b">
        <f t="shared" si="101"/>
        <v>0</v>
      </c>
      <c r="M239" s="279"/>
      <c r="N239" s="279" t="b">
        <f t="shared" si="58"/>
        <v>0</v>
      </c>
      <c r="O239" s="279" t="b">
        <f t="shared" si="58"/>
        <v>0</v>
      </c>
      <c r="P239" s="279" t="b">
        <f t="shared" si="58"/>
        <v>1</v>
      </c>
      <c r="Q239" s="279" t="b">
        <f t="shared" si="59"/>
        <v>1</v>
      </c>
      <c r="AB239" s="279" t="b">
        <f t="shared" ref="AB239:AP239" si="112">AND($BG35=FALSE,AND(AB137&lt;&gt;"",AB137=FALSE),AB35="")</f>
        <v>1</v>
      </c>
      <c r="AC239" s="279" t="b">
        <f t="shared" si="112"/>
        <v>1</v>
      </c>
      <c r="AD239" s="279" t="b">
        <f t="shared" si="112"/>
        <v>1</v>
      </c>
      <c r="AE239" s="279" t="b">
        <f t="shared" si="112"/>
        <v>1</v>
      </c>
      <c r="AF239" s="279" t="b">
        <f t="shared" si="112"/>
        <v>1</v>
      </c>
      <c r="AG239" s="279" t="b">
        <f t="shared" si="112"/>
        <v>1</v>
      </c>
      <c r="AH239" s="279" t="b">
        <f t="shared" si="112"/>
        <v>1</v>
      </c>
      <c r="AI239" s="279" t="b">
        <f t="shared" si="112"/>
        <v>1</v>
      </c>
      <c r="AJ239" s="279" t="b">
        <f t="shared" si="112"/>
        <v>1</v>
      </c>
      <c r="AK239" s="279" t="b">
        <f t="shared" si="112"/>
        <v>1</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25">
      <c r="A240" s="275" t="s">
        <v>3</v>
      </c>
      <c r="C240" s="275">
        <v>27</v>
      </c>
      <c r="F240" s="279" t="b">
        <f t="shared" si="101"/>
        <v>1</v>
      </c>
      <c r="G240" s="279" t="b">
        <f t="shared" si="101"/>
        <v>0</v>
      </c>
      <c r="H240" s="279" t="b">
        <f t="shared" si="101"/>
        <v>1</v>
      </c>
      <c r="I240" s="279" t="b">
        <f t="shared" si="101"/>
        <v>0</v>
      </c>
      <c r="J240" s="279" t="b">
        <f t="shared" si="101"/>
        <v>0</v>
      </c>
      <c r="K240" s="279" t="b">
        <f t="shared" si="101"/>
        <v>0</v>
      </c>
      <c r="L240" s="279" t="b">
        <f t="shared" si="101"/>
        <v>0</v>
      </c>
      <c r="M240" s="279"/>
      <c r="N240" s="279" t="b">
        <f t="shared" si="58"/>
        <v>0</v>
      </c>
      <c r="O240" s="279" t="b">
        <f t="shared" si="58"/>
        <v>0</v>
      </c>
      <c r="P240" s="279" t="b">
        <f t="shared" si="58"/>
        <v>1</v>
      </c>
      <c r="Q240" s="279" t="b">
        <f t="shared" si="59"/>
        <v>1</v>
      </c>
      <c r="AB240" s="279" t="b">
        <f t="shared" ref="AB240:AP240" si="114">AND($BG36=FALSE,AND(AB138&lt;&gt;"",AB138=FALSE),AB36="")</f>
        <v>1</v>
      </c>
      <c r="AC240" s="279" t="b">
        <f t="shared" si="114"/>
        <v>1</v>
      </c>
      <c r="AD240" s="279" t="b">
        <f t="shared" si="114"/>
        <v>1</v>
      </c>
      <c r="AE240" s="279" t="b">
        <f t="shared" si="114"/>
        <v>1</v>
      </c>
      <c r="AF240" s="279" t="b">
        <f t="shared" si="114"/>
        <v>1</v>
      </c>
      <c r="AG240" s="279" t="b">
        <f t="shared" si="114"/>
        <v>1</v>
      </c>
      <c r="AH240" s="279" t="b">
        <f t="shared" si="114"/>
        <v>1</v>
      </c>
      <c r="AI240" s="279" t="b">
        <f t="shared" si="114"/>
        <v>1</v>
      </c>
      <c r="AJ240" s="279" t="b">
        <f t="shared" si="114"/>
        <v>1</v>
      </c>
      <c r="AK240" s="279" t="b">
        <f t="shared" si="114"/>
        <v>1</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25">
      <c r="A241" s="275" t="s">
        <v>3</v>
      </c>
      <c r="C241" s="275">
        <v>28</v>
      </c>
      <c r="F241" s="279" t="b">
        <f t="shared" si="101"/>
        <v>1</v>
      </c>
      <c r="G241" s="279" t="b">
        <f t="shared" si="101"/>
        <v>0</v>
      </c>
      <c r="H241" s="279" t="b">
        <f t="shared" si="101"/>
        <v>1</v>
      </c>
      <c r="I241" s="279" t="b">
        <f t="shared" si="101"/>
        <v>0</v>
      </c>
      <c r="J241" s="279" t="b">
        <f t="shared" si="101"/>
        <v>0</v>
      </c>
      <c r="K241" s="279" t="b">
        <f t="shared" si="101"/>
        <v>0</v>
      </c>
      <c r="L241" s="279" t="b">
        <f t="shared" si="101"/>
        <v>0</v>
      </c>
      <c r="M241" s="279"/>
      <c r="N241" s="279" t="b">
        <f t="shared" si="58"/>
        <v>0</v>
      </c>
      <c r="O241" s="279" t="b">
        <f t="shared" si="58"/>
        <v>0</v>
      </c>
      <c r="P241" s="279" t="b">
        <f t="shared" si="58"/>
        <v>1</v>
      </c>
      <c r="Q241" s="279" t="b">
        <f t="shared" si="59"/>
        <v>1</v>
      </c>
      <c r="AB241" s="279" t="b">
        <f t="shared" ref="AB241:AP241" si="116">AND($BG37=FALSE,AND(AB139&lt;&gt;"",AB139=FALSE),AB37="")</f>
        <v>1</v>
      </c>
      <c r="AC241" s="279" t="b">
        <f t="shared" si="116"/>
        <v>1</v>
      </c>
      <c r="AD241" s="279" t="b">
        <f t="shared" si="116"/>
        <v>1</v>
      </c>
      <c r="AE241" s="279" t="b">
        <f t="shared" si="116"/>
        <v>1</v>
      </c>
      <c r="AF241" s="279" t="b">
        <f t="shared" si="116"/>
        <v>1</v>
      </c>
      <c r="AG241" s="279" t="b">
        <f t="shared" si="116"/>
        <v>1</v>
      </c>
      <c r="AH241" s="279" t="b">
        <f t="shared" si="116"/>
        <v>1</v>
      </c>
      <c r="AI241" s="279" t="b">
        <f t="shared" si="116"/>
        <v>1</v>
      </c>
      <c r="AJ241" s="279" t="b">
        <f t="shared" si="116"/>
        <v>1</v>
      </c>
      <c r="AK241" s="279" t="b">
        <f t="shared" si="116"/>
        <v>1</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25">
      <c r="A242" s="275" t="s">
        <v>3</v>
      </c>
      <c r="C242" s="275">
        <v>29</v>
      </c>
      <c r="F242" s="279" t="b">
        <f t="shared" si="101"/>
        <v>1</v>
      </c>
      <c r="G242" s="279" t="b">
        <f t="shared" si="101"/>
        <v>0</v>
      </c>
      <c r="H242" s="279" t="b">
        <f t="shared" si="101"/>
        <v>1</v>
      </c>
      <c r="I242" s="279" t="b">
        <f t="shared" si="101"/>
        <v>0</v>
      </c>
      <c r="J242" s="279" t="b">
        <f t="shared" si="101"/>
        <v>0</v>
      </c>
      <c r="K242" s="279" t="b">
        <f t="shared" si="101"/>
        <v>0</v>
      </c>
      <c r="L242" s="279" t="b">
        <f t="shared" si="101"/>
        <v>0</v>
      </c>
      <c r="M242" s="279"/>
      <c r="N242" s="279" t="b">
        <f t="shared" si="58"/>
        <v>0</v>
      </c>
      <c r="O242" s="279" t="b">
        <f t="shared" si="58"/>
        <v>0</v>
      </c>
      <c r="P242" s="279" t="b">
        <f t="shared" si="58"/>
        <v>1</v>
      </c>
      <c r="Q242" s="279" t="b">
        <f t="shared" si="59"/>
        <v>1</v>
      </c>
      <c r="AB242" s="279" t="b">
        <f t="shared" ref="AB242:AP242" si="118">AND($BG38=FALSE,AND(AB140&lt;&gt;"",AB140=FALSE),AB38="")</f>
        <v>1</v>
      </c>
      <c r="AC242" s="279" t="b">
        <f t="shared" si="118"/>
        <v>1</v>
      </c>
      <c r="AD242" s="279" t="b">
        <f t="shared" si="118"/>
        <v>1</v>
      </c>
      <c r="AE242" s="279" t="b">
        <f t="shared" si="118"/>
        <v>1</v>
      </c>
      <c r="AF242" s="279" t="b">
        <f t="shared" si="118"/>
        <v>1</v>
      </c>
      <c r="AG242" s="279" t="b">
        <f t="shared" si="118"/>
        <v>1</v>
      </c>
      <c r="AH242" s="279" t="b">
        <f t="shared" si="118"/>
        <v>1</v>
      </c>
      <c r="AI242" s="279" t="b">
        <f t="shared" si="118"/>
        <v>1</v>
      </c>
      <c r="AJ242" s="279" t="b">
        <f t="shared" si="118"/>
        <v>1</v>
      </c>
      <c r="AK242" s="279" t="b">
        <f t="shared" si="118"/>
        <v>1</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25">
      <c r="A243" s="275" t="s">
        <v>3</v>
      </c>
      <c r="C243" s="275">
        <v>30</v>
      </c>
      <c r="F243" s="279" t="b">
        <f t="shared" si="101"/>
        <v>1</v>
      </c>
      <c r="G243" s="279" t="b">
        <f t="shared" si="101"/>
        <v>0</v>
      </c>
      <c r="H243" s="279" t="b">
        <f t="shared" si="101"/>
        <v>1</v>
      </c>
      <c r="I243" s="279" t="b">
        <f t="shared" si="101"/>
        <v>0</v>
      </c>
      <c r="J243" s="279" t="b">
        <f t="shared" si="101"/>
        <v>0</v>
      </c>
      <c r="K243" s="279" t="b">
        <f t="shared" si="101"/>
        <v>0</v>
      </c>
      <c r="L243" s="279" t="b">
        <f t="shared" si="101"/>
        <v>0</v>
      </c>
      <c r="M243" s="279"/>
      <c r="N243" s="279" t="b">
        <f t="shared" si="58"/>
        <v>0</v>
      </c>
      <c r="O243" s="279" t="b">
        <f t="shared" si="58"/>
        <v>0</v>
      </c>
      <c r="P243" s="279" t="b">
        <f t="shared" si="58"/>
        <v>1</v>
      </c>
      <c r="Q243" s="279" t="b">
        <f t="shared" si="59"/>
        <v>1</v>
      </c>
      <c r="AB243" s="279" t="b">
        <f t="shared" ref="AB243:AP243" si="120">AND($BG39=FALSE,AND(AB141&lt;&gt;"",AB141=FALSE),AB39="")</f>
        <v>1</v>
      </c>
      <c r="AC243" s="279" t="b">
        <f t="shared" si="120"/>
        <v>1</v>
      </c>
      <c r="AD243" s="279" t="b">
        <f t="shared" si="120"/>
        <v>1</v>
      </c>
      <c r="AE243" s="279" t="b">
        <f t="shared" si="120"/>
        <v>1</v>
      </c>
      <c r="AF243" s="279" t="b">
        <f t="shared" si="120"/>
        <v>1</v>
      </c>
      <c r="AG243" s="279" t="b">
        <f t="shared" si="120"/>
        <v>1</v>
      </c>
      <c r="AH243" s="279" t="b">
        <f t="shared" si="120"/>
        <v>1</v>
      </c>
      <c r="AI243" s="279" t="b">
        <f t="shared" si="120"/>
        <v>1</v>
      </c>
      <c r="AJ243" s="279" t="b">
        <f t="shared" si="120"/>
        <v>1</v>
      </c>
      <c r="AK243" s="279" t="b">
        <f t="shared" si="120"/>
        <v>1</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25">
      <c r="A244" s="275" t="s">
        <v>3</v>
      </c>
      <c r="C244" s="275">
        <v>31</v>
      </c>
      <c r="F244" s="279" t="b">
        <f t="shared" ref="F244:L244" si="122">AND($BG40=FALSE,AND(F142&lt;&gt;"",F142=FALSE),F40="")</f>
        <v>1</v>
      </c>
      <c r="G244" s="279" t="b">
        <f t="shared" si="122"/>
        <v>0</v>
      </c>
      <c r="H244" s="279" t="b">
        <f t="shared" si="122"/>
        <v>1</v>
      </c>
      <c r="I244" s="279" t="b">
        <f t="shared" si="122"/>
        <v>0</v>
      </c>
      <c r="J244" s="279" t="b">
        <f t="shared" si="122"/>
        <v>0</v>
      </c>
      <c r="K244" s="279" t="b">
        <f t="shared" si="122"/>
        <v>0</v>
      </c>
      <c r="L244" s="279" t="b">
        <f t="shared" si="122"/>
        <v>0</v>
      </c>
      <c r="M244" s="279"/>
      <c r="N244" s="279" t="b">
        <f t="shared" si="58"/>
        <v>0</v>
      </c>
      <c r="O244" s="279" t="b">
        <f t="shared" si="58"/>
        <v>0</v>
      </c>
      <c r="P244" s="279" t="b">
        <f t="shared" si="58"/>
        <v>1</v>
      </c>
      <c r="Q244" s="279" t="b">
        <f t="shared" si="59"/>
        <v>1</v>
      </c>
      <c r="AB244" s="279" t="b">
        <f t="shared" ref="AB244:AP244" si="123">AND($BG40=FALSE,AND(AB142&lt;&gt;"",AB142=FALSE),AB40="")</f>
        <v>1</v>
      </c>
      <c r="AC244" s="279" t="b">
        <f t="shared" si="123"/>
        <v>1</v>
      </c>
      <c r="AD244" s="279" t="b">
        <f t="shared" si="123"/>
        <v>1</v>
      </c>
      <c r="AE244" s="279" t="b">
        <f t="shared" si="123"/>
        <v>1</v>
      </c>
      <c r="AF244" s="279" t="b">
        <f t="shared" si="123"/>
        <v>1</v>
      </c>
      <c r="AG244" s="279" t="b">
        <f t="shared" si="123"/>
        <v>1</v>
      </c>
      <c r="AH244" s="279" t="b">
        <f t="shared" si="123"/>
        <v>1</v>
      </c>
      <c r="AI244" s="279" t="b">
        <f t="shared" si="123"/>
        <v>1</v>
      </c>
      <c r="AJ244" s="279" t="b">
        <f t="shared" si="123"/>
        <v>1</v>
      </c>
      <c r="AK244" s="279" t="b">
        <f t="shared" si="123"/>
        <v>1</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25">
      <c r="A245" s="275" t="s">
        <v>3</v>
      </c>
      <c r="C245" s="275">
        <v>32</v>
      </c>
      <c r="F245" s="279" t="b">
        <f t="shared" ref="F245:L245" si="125">AND($BG41=FALSE,AND(F143&lt;&gt;"",F143=FALSE),F41="")</f>
        <v>1</v>
      </c>
      <c r="G245" s="279" t="b">
        <f t="shared" si="125"/>
        <v>0</v>
      </c>
      <c r="H245" s="279" t="b">
        <f t="shared" si="125"/>
        <v>1</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1</v>
      </c>
      <c r="Q245" s="279" t="b">
        <f t="shared" si="59"/>
        <v>1</v>
      </c>
      <c r="AB245" s="279" t="b">
        <f t="shared" si="59"/>
        <v>1</v>
      </c>
      <c r="AC245" s="279" t="b">
        <f t="shared" si="59"/>
        <v>1</v>
      </c>
      <c r="AD245" s="279" t="b">
        <f t="shared" si="59"/>
        <v>1</v>
      </c>
      <c r="AE245" s="279" t="b">
        <f t="shared" si="59"/>
        <v>1</v>
      </c>
      <c r="AF245" s="279" t="b">
        <f t="shared" si="59"/>
        <v>1</v>
      </c>
      <c r="AG245" s="279" t="b">
        <f t="shared" ref="AG245:AP245" si="127">AND($BG41=FALSE,AND(AG143&lt;&gt;"",AG143=FALSE),AG41="")</f>
        <v>1</v>
      </c>
      <c r="AH245" s="279" t="b">
        <f t="shared" si="127"/>
        <v>1</v>
      </c>
      <c r="AI245" s="279" t="b">
        <f t="shared" si="127"/>
        <v>1</v>
      </c>
      <c r="AJ245" s="279" t="b">
        <f t="shared" si="127"/>
        <v>1</v>
      </c>
      <c r="AK245" s="279" t="b">
        <f t="shared" si="127"/>
        <v>1</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25">
      <c r="A246" s="275" t="s">
        <v>3</v>
      </c>
      <c r="C246" s="275">
        <v>33</v>
      </c>
      <c r="F246" s="279" t="b">
        <f t="shared" ref="F246:L246" si="129">AND($BG42=FALSE,AND(F144&lt;&gt;"",F144=FALSE),F42="")</f>
        <v>1</v>
      </c>
      <c r="G246" s="279" t="b">
        <f t="shared" si="129"/>
        <v>0</v>
      </c>
      <c r="H246" s="279" t="b">
        <f t="shared" si="129"/>
        <v>1</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1</v>
      </c>
      <c r="Q246" s="279" t="b">
        <f t="shared" si="130"/>
        <v>1</v>
      </c>
      <c r="AB246" s="279" t="b">
        <f t="shared" si="130"/>
        <v>1</v>
      </c>
      <c r="AC246" s="279" t="b">
        <f t="shared" si="130"/>
        <v>1</v>
      </c>
      <c r="AD246" s="279" t="b">
        <f t="shared" si="130"/>
        <v>1</v>
      </c>
      <c r="AE246" s="279" t="b">
        <f t="shared" si="130"/>
        <v>1</v>
      </c>
      <c r="AF246" s="279" t="b">
        <f t="shared" si="130"/>
        <v>1</v>
      </c>
      <c r="AG246" s="279" t="b">
        <f t="shared" si="130"/>
        <v>1</v>
      </c>
      <c r="AH246" s="279" t="b">
        <f t="shared" si="130"/>
        <v>1</v>
      </c>
      <c r="AI246" s="279" t="b">
        <f t="shared" si="130"/>
        <v>1</v>
      </c>
      <c r="AJ246" s="279" t="b">
        <f t="shared" si="130"/>
        <v>1</v>
      </c>
      <c r="AK246" s="279" t="b">
        <f t="shared" si="130"/>
        <v>1</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25">
      <c r="A247" s="275" t="s">
        <v>3</v>
      </c>
      <c r="C247" s="275">
        <v>34</v>
      </c>
      <c r="F247" s="279" t="b">
        <f t="shared" ref="F247:L247" si="132">AND($BG43=FALSE,AND(F145&lt;&gt;"",F145=FALSE),F43="")</f>
        <v>1</v>
      </c>
      <c r="G247" s="279" t="b">
        <f t="shared" si="132"/>
        <v>0</v>
      </c>
      <c r="H247" s="279" t="b">
        <f t="shared" si="132"/>
        <v>1</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1</v>
      </c>
      <c r="Q247" s="279" t="b">
        <f t="shared" si="130"/>
        <v>1</v>
      </c>
      <c r="AB247" s="279" t="b">
        <f t="shared" si="130"/>
        <v>1</v>
      </c>
      <c r="AC247" s="279" t="b">
        <f t="shared" si="130"/>
        <v>1</v>
      </c>
      <c r="AD247" s="279" t="b">
        <f t="shared" si="130"/>
        <v>1</v>
      </c>
      <c r="AE247" s="279" t="b">
        <f t="shared" si="130"/>
        <v>1</v>
      </c>
      <c r="AF247" s="279" t="b">
        <f t="shared" si="130"/>
        <v>1</v>
      </c>
      <c r="AG247" s="279" t="b">
        <f t="shared" si="130"/>
        <v>1</v>
      </c>
      <c r="AH247" s="279" t="b">
        <f t="shared" si="130"/>
        <v>1</v>
      </c>
      <c r="AI247" s="279" t="b">
        <f t="shared" si="130"/>
        <v>1</v>
      </c>
      <c r="AJ247" s="279" t="b">
        <f t="shared" si="130"/>
        <v>1</v>
      </c>
      <c r="AK247" s="279" t="b">
        <f t="shared" si="130"/>
        <v>1</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25">
      <c r="A248" s="275" t="s">
        <v>3</v>
      </c>
      <c r="C248" s="275">
        <v>35</v>
      </c>
      <c r="F248" s="279" t="b">
        <f t="shared" ref="F248:L248" si="135">AND($BG44=FALSE,AND(F146&lt;&gt;"",F146=FALSE),F44="")</f>
        <v>1</v>
      </c>
      <c r="G248" s="279" t="b">
        <f t="shared" si="135"/>
        <v>0</v>
      </c>
      <c r="H248" s="279" t="b">
        <f t="shared" si="135"/>
        <v>1</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1</v>
      </c>
      <c r="Q248" s="279" t="b">
        <f t="shared" si="130"/>
        <v>1</v>
      </c>
      <c r="AB248" s="279" t="b">
        <f t="shared" si="130"/>
        <v>1</v>
      </c>
      <c r="AC248" s="279" t="b">
        <f t="shared" si="130"/>
        <v>1</v>
      </c>
      <c r="AD248" s="279" t="b">
        <f t="shared" si="130"/>
        <v>1</v>
      </c>
      <c r="AE248" s="279" t="b">
        <f t="shared" si="130"/>
        <v>1</v>
      </c>
      <c r="AF248" s="279" t="b">
        <f t="shared" si="130"/>
        <v>1</v>
      </c>
      <c r="AG248" s="279" t="b">
        <f t="shared" si="130"/>
        <v>1</v>
      </c>
      <c r="AH248" s="279" t="b">
        <f t="shared" si="130"/>
        <v>1</v>
      </c>
      <c r="AI248" s="279" t="b">
        <f t="shared" si="130"/>
        <v>1</v>
      </c>
      <c r="AJ248" s="279" t="b">
        <f t="shared" si="130"/>
        <v>1</v>
      </c>
      <c r="AK248" s="279" t="b">
        <f t="shared" si="130"/>
        <v>1</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25">
      <c r="A249" s="275" t="s">
        <v>3</v>
      </c>
      <c r="C249" s="275">
        <v>36</v>
      </c>
      <c r="F249" s="279" t="b">
        <f t="shared" ref="F249:L249" si="138">AND($BG45=FALSE,AND(F147&lt;&gt;"",F147=FALSE),F45="")</f>
        <v>1</v>
      </c>
      <c r="G249" s="279" t="b">
        <f t="shared" si="138"/>
        <v>0</v>
      </c>
      <c r="H249" s="279" t="b">
        <f t="shared" si="138"/>
        <v>1</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1</v>
      </c>
      <c r="Q249" s="279" t="b">
        <f t="shared" si="130"/>
        <v>1</v>
      </c>
      <c r="AB249" s="279" t="b">
        <f t="shared" si="130"/>
        <v>1</v>
      </c>
      <c r="AC249" s="279" t="b">
        <f t="shared" si="130"/>
        <v>1</v>
      </c>
      <c r="AD249" s="279" t="b">
        <f t="shared" si="130"/>
        <v>1</v>
      </c>
      <c r="AE249" s="279" t="b">
        <f t="shared" si="130"/>
        <v>1</v>
      </c>
      <c r="AF249" s="279" t="b">
        <f t="shared" si="130"/>
        <v>1</v>
      </c>
      <c r="AG249" s="279" t="b">
        <f t="shared" si="130"/>
        <v>1</v>
      </c>
      <c r="AH249" s="279" t="b">
        <f t="shared" si="130"/>
        <v>1</v>
      </c>
      <c r="AI249" s="279" t="b">
        <f t="shared" si="130"/>
        <v>1</v>
      </c>
      <c r="AJ249" s="279" t="b">
        <f t="shared" si="130"/>
        <v>1</v>
      </c>
      <c r="AK249" s="279" t="b">
        <f t="shared" si="130"/>
        <v>1</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25">
      <c r="A250" s="275" t="s">
        <v>3</v>
      </c>
      <c r="C250" s="275">
        <v>37</v>
      </c>
      <c r="F250" s="279" t="b">
        <f t="shared" ref="F250:L250" si="141">AND($BG46=FALSE,AND(F148&lt;&gt;"",F148=FALSE),F46="")</f>
        <v>1</v>
      </c>
      <c r="G250" s="279" t="b">
        <f t="shared" si="141"/>
        <v>0</v>
      </c>
      <c r="H250" s="279" t="b">
        <f t="shared" si="141"/>
        <v>1</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1</v>
      </c>
      <c r="Q250" s="279" t="b">
        <f t="shared" si="130"/>
        <v>1</v>
      </c>
      <c r="AB250" s="279" t="b">
        <f t="shared" si="130"/>
        <v>1</v>
      </c>
      <c r="AC250" s="279" t="b">
        <f t="shared" si="130"/>
        <v>1</v>
      </c>
      <c r="AD250" s="279" t="b">
        <f t="shared" si="130"/>
        <v>1</v>
      </c>
      <c r="AE250" s="279" t="b">
        <f t="shared" si="130"/>
        <v>1</v>
      </c>
      <c r="AF250" s="279" t="b">
        <f t="shared" si="130"/>
        <v>1</v>
      </c>
      <c r="AG250" s="279" t="b">
        <f t="shared" si="130"/>
        <v>1</v>
      </c>
      <c r="AH250" s="279" t="b">
        <f t="shared" si="130"/>
        <v>1</v>
      </c>
      <c r="AI250" s="279" t="b">
        <f t="shared" si="130"/>
        <v>1</v>
      </c>
      <c r="AJ250" s="279" t="b">
        <f t="shared" si="130"/>
        <v>1</v>
      </c>
      <c r="AK250" s="279" t="b">
        <f t="shared" si="130"/>
        <v>1</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25">
      <c r="A251" s="275" t="s">
        <v>3</v>
      </c>
      <c r="C251" s="275">
        <v>38</v>
      </c>
      <c r="F251" s="279" t="b">
        <f t="shared" ref="F251:L251" si="144">AND($BG47=FALSE,AND(F149&lt;&gt;"",F149=FALSE),F47="")</f>
        <v>1</v>
      </c>
      <c r="G251" s="279" t="b">
        <f t="shared" si="144"/>
        <v>0</v>
      </c>
      <c r="H251" s="279" t="b">
        <f t="shared" si="144"/>
        <v>1</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1</v>
      </c>
      <c r="Q251" s="279" t="b">
        <f t="shared" si="130"/>
        <v>1</v>
      </c>
      <c r="AB251" s="279" t="b">
        <f t="shared" si="130"/>
        <v>1</v>
      </c>
      <c r="AC251" s="279" t="b">
        <f t="shared" si="130"/>
        <v>1</v>
      </c>
      <c r="AD251" s="279" t="b">
        <f t="shared" si="130"/>
        <v>1</v>
      </c>
      <c r="AE251" s="279" t="b">
        <f t="shared" si="130"/>
        <v>1</v>
      </c>
      <c r="AF251" s="279" t="b">
        <f t="shared" si="130"/>
        <v>1</v>
      </c>
      <c r="AG251" s="279" t="b">
        <f t="shared" si="130"/>
        <v>1</v>
      </c>
      <c r="AH251" s="279" t="b">
        <f t="shared" si="130"/>
        <v>1</v>
      </c>
      <c r="AI251" s="279" t="b">
        <f t="shared" si="130"/>
        <v>1</v>
      </c>
      <c r="AJ251" s="279" t="b">
        <f t="shared" si="130"/>
        <v>1</v>
      </c>
      <c r="AK251" s="279" t="b">
        <f t="shared" si="130"/>
        <v>1</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25">
      <c r="A252" s="275" t="s">
        <v>3</v>
      </c>
      <c r="C252" s="275">
        <v>39</v>
      </c>
      <c r="F252" s="279" t="b">
        <f t="shared" ref="F252:L252" si="147">AND($BG48=FALSE,AND(F150&lt;&gt;"",F150=FALSE),F48="")</f>
        <v>1</v>
      </c>
      <c r="G252" s="279" t="b">
        <f t="shared" si="147"/>
        <v>0</v>
      </c>
      <c r="H252" s="279" t="b">
        <f t="shared" si="147"/>
        <v>1</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1</v>
      </c>
      <c r="Q252" s="279" t="b">
        <f t="shared" si="130"/>
        <v>1</v>
      </c>
      <c r="AB252" s="279" t="b">
        <f t="shared" si="130"/>
        <v>1</v>
      </c>
      <c r="AC252" s="279" t="b">
        <f t="shared" si="130"/>
        <v>1</v>
      </c>
      <c r="AD252" s="279" t="b">
        <f t="shared" si="130"/>
        <v>1</v>
      </c>
      <c r="AE252" s="279" t="b">
        <f t="shared" si="130"/>
        <v>1</v>
      </c>
      <c r="AF252" s="279" t="b">
        <f t="shared" si="130"/>
        <v>1</v>
      </c>
      <c r="AG252" s="279" t="b">
        <f t="shared" si="130"/>
        <v>1</v>
      </c>
      <c r="AH252" s="279" t="b">
        <f t="shared" si="130"/>
        <v>1</v>
      </c>
      <c r="AI252" s="279" t="b">
        <f t="shared" si="130"/>
        <v>1</v>
      </c>
      <c r="AJ252" s="279" t="b">
        <f t="shared" si="130"/>
        <v>1</v>
      </c>
      <c r="AK252" s="279" t="b">
        <f t="shared" si="130"/>
        <v>1</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25">
      <c r="A253" s="275" t="s">
        <v>3</v>
      </c>
      <c r="C253" s="275">
        <v>40</v>
      </c>
      <c r="F253" s="279" t="b">
        <f t="shared" ref="F253:L253" si="150">AND($BG49=FALSE,AND(F151&lt;&gt;"",F151=FALSE),F49="")</f>
        <v>1</v>
      </c>
      <c r="G253" s="279" t="b">
        <f t="shared" si="150"/>
        <v>0</v>
      </c>
      <c r="H253" s="279" t="b">
        <f t="shared" si="150"/>
        <v>1</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1</v>
      </c>
      <c r="Q253" s="279" t="b">
        <f t="shared" si="130"/>
        <v>1</v>
      </c>
      <c r="AB253" s="279" t="b">
        <f t="shared" si="130"/>
        <v>1</v>
      </c>
      <c r="AC253" s="279" t="b">
        <f t="shared" si="130"/>
        <v>1</v>
      </c>
      <c r="AD253" s="279" t="b">
        <f t="shared" si="130"/>
        <v>1</v>
      </c>
      <c r="AE253" s="279" t="b">
        <f t="shared" si="130"/>
        <v>1</v>
      </c>
      <c r="AF253" s="279" t="b">
        <f t="shared" si="130"/>
        <v>1</v>
      </c>
      <c r="AG253" s="279" t="b">
        <f t="shared" si="130"/>
        <v>1</v>
      </c>
      <c r="AH253" s="279" t="b">
        <f t="shared" si="130"/>
        <v>1</v>
      </c>
      <c r="AI253" s="279" t="b">
        <f t="shared" si="130"/>
        <v>1</v>
      </c>
      <c r="AJ253" s="279" t="b">
        <f t="shared" si="130"/>
        <v>1</v>
      </c>
      <c r="AK253" s="279" t="b">
        <f t="shared" si="130"/>
        <v>1</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25">
      <c r="A254" s="275" t="s">
        <v>3</v>
      </c>
      <c r="C254" s="275">
        <v>41</v>
      </c>
      <c r="F254" s="279" t="b">
        <f t="shared" ref="F254:L254" si="153">AND($BG50=FALSE,AND(F152&lt;&gt;"",F152=FALSE),F50="")</f>
        <v>1</v>
      </c>
      <c r="G254" s="279" t="b">
        <f t="shared" si="153"/>
        <v>0</v>
      </c>
      <c r="H254" s="279" t="b">
        <f t="shared" si="153"/>
        <v>1</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1</v>
      </c>
      <c r="Q254" s="279" t="b">
        <f t="shared" si="130"/>
        <v>1</v>
      </c>
      <c r="AB254" s="279" t="b">
        <f t="shared" si="130"/>
        <v>1</v>
      </c>
      <c r="AC254" s="279" t="b">
        <f t="shared" si="130"/>
        <v>1</v>
      </c>
      <c r="AD254" s="279" t="b">
        <f t="shared" si="130"/>
        <v>1</v>
      </c>
      <c r="AE254" s="279" t="b">
        <f t="shared" si="130"/>
        <v>1</v>
      </c>
      <c r="AF254" s="279" t="b">
        <f t="shared" si="130"/>
        <v>1</v>
      </c>
      <c r="AG254" s="279" t="b">
        <f t="shared" si="130"/>
        <v>1</v>
      </c>
      <c r="AH254" s="279" t="b">
        <f t="shared" si="130"/>
        <v>1</v>
      </c>
      <c r="AI254" s="279" t="b">
        <f t="shared" si="130"/>
        <v>1</v>
      </c>
      <c r="AJ254" s="279" t="b">
        <f t="shared" si="130"/>
        <v>1</v>
      </c>
      <c r="AK254" s="279" t="b">
        <f t="shared" si="130"/>
        <v>1</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25">
      <c r="A255" s="275" t="s">
        <v>3</v>
      </c>
      <c r="C255" s="275">
        <v>42</v>
      </c>
      <c r="F255" s="279" t="b">
        <f t="shared" ref="F255:L255" si="156">AND($BG51=FALSE,AND(F153&lt;&gt;"",F153=FALSE),F51="")</f>
        <v>1</v>
      </c>
      <c r="G255" s="279" t="b">
        <f t="shared" si="156"/>
        <v>0</v>
      </c>
      <c r="H255" s="279" t="b">
        <f t="shared" si="156"/>
        <v>1</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1</v>
      </c>
      <c r="Q255" s="279" t="b">
        <f t="shared" si="130"/>
        <v>1</v>
      </c>
      <c r="AB255" s="279" t="b">
        <f t="shared" si="130"/>
        <v>1</v>
      </c>
      <c r="AC255" s="279" t="b">
        <f t="shared" si="130"/>
        <v>1</v>
      </c>
      <c r="AD255" s="279" t="b">
        <f t="shared" si="130"/>
        <v>1</v>
      </c>
      <c r="AE255" s="279" t="b">
        <f t="shared" si="130"/>
        <v>1</v>
      </c>
      <c r="AF255" s="279" t="b">
        <f t="shared" si="130"/>
        <v>1</v>
      </c>
      <c r="AG255" s="279" t="b">
        <f t="shared" si="130"/>
        <v>1</v>
      </c>
      <c r="AH255" s="279" t="b">
        <f t="shared" si="130"/>
        <v>1</v>
      </c>
      <c r="AI255" s="279" t="b">
        <f t="shared" ref="AI255:AP255" si="158">AND($BG51=FALSE,AND(AI153&lt;&gt;"",AI153=FALSE),AI51="")</f>
        <v>1</v>
      </c>
      <c r="AJ255" s="279" t="b">
        <f t="shared" si="158"/>
        <v>1</v>
      </c>
      <c r="AK255" s="279" t="b">
        <f t="shared" si="158"/>
        <v>1</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25">
      <c r="A256" s="275" t="s">
        <v>3</v>
      </c>
      <c r="C256" s="275">
        <v>43</v>
      </c>
      <c r="F256" s="279" t="b">
        <f t="shared" ref="F256:L256" si="160">AND($BG52=FALSE,AND(F154&lt;&gt;"",F154=FALSE),F52="")</f>
        <v>1</v>
      </c>
      <c r="G256" s="279" t="b">
        <f t="shared" si="160"/>
        <v>0</v>
      </c>
      <c r="H256" s="279" t="b">
        <f t="shared" si="160"/>
        <v>1</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1</v>
      </c>
      <c r="Q256" s="279" t="b">
        <f t="shared" si="161"/>
        <v>1</v>
      </c>
      <c r="AB256" s="279" t="b">
        <f t="shared" si="161"/>
        <v>1</v>
      </c>
      <c r="AC256" s="279" t="b">
        <f t="shared" si="161"/>
        <v>1</v>
      </c>
      <c r="AD256" s="279" t="b">
        <f t="shared" si="161"/>
        <v>1</v>
      </c>
      <c r="AE256" s="279" t="b">
        <f t="shared" si="161"/>
        <v>1</v>
      </c>
      <c r="AF256" s="279" t="b">
        <f t="shared" si="161"/>
        <v>1</v>
      </c>
      <c r="AG256" s="279" t="b">
        <f t="shared" si="161"/>
        <v>1</v>
      </c>
      <c r="AH256" s="279" t="b">
        <f t="shared" si="161"/>
        <v>1</v>
      </c>
      <c r="AI256" s="279" t="b">
        <f t="shared" si="161"/>
        <v>1</v>
      </c>
      <c r="AJ256" s="279" t="b">
        <f t="shared" si="161"/>
        <v>1</v>
      </c>
      <c r="AK256" s="279" t="b">
        <f t="shared" si="161"/>
        <v>1</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25">
      <c r="A257" s="275" t="s">
        <v>3</v>
      </c>
      <c r="C257" s="275">
        <v>44</v>
      </c>
      <c r="F257" s="279" t="b">
        <f t="shared" ref="F257:L257" si="163">AND($BG53=FALSE,AND(F155&lt;&gt;"",F155=FALSE),F53="")</f>
        <v>1</v>
      </c>
      <c r="G257" s="279" t="b">
        <f t="shared" si="163"/>
        <v>0</v>
      </c>
      <c r="H257" s="279" t="b">
        <f t="shared" si="163"/>
        <v>1</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1</v>
      </c>
      <c r="Q257" s="279" t="b">
        <f t="shared" si="161"/>
        <v>1</v>
      </c>
      <c r="AB257" s="279" t="b">
        <f t="shared" si="161"/>
        <v>1</v>
      </c>
      <c r="AC257" s="279" t="b">
        <f t="shared" si="161"/>
        <v>1</v>
      </c>
      <c r="AD257" s="279" t="b">
        <f t="shared" si="161"/>
        <v>1</v>
      </c>
      <c r="AE257" s="279" t="b">
        <f t="shared" si="161"/>
        <v>1</v>
      </c>
      <c r="AF257" s="279" t="b">
        <f t="shared" si="161"/>
        <v>1</v>
      </c>
      <c r="AG257" s="279" t="b">
        <f t="shared" si="161"/>
        <v>1</v>
      </c>
      <c r="AH257" s="279" t="b">
        <f t="shared" si="161"/>
        <v>1</v>
      </c>
      <c r="AI257" s="279" t="b">
        <f t="shared" si="161"/>
        <v>1</v>
      </c>
      <c r="AJ257" s="279" t="b">
        <f t="shared" si="161"/>
        <v>1</v>
      </c>
      <c r="AK257" s="279" t="b">
        <f t="shared" si="161"/>
        <v>1</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25">
      <c r="A258" s="275" t="s">
        <v>3</v>
      </c>
      <c r="C258" s="275">
        <v>45</v>
      </c>
      <c r="F258" s="279" t="b">
        <f t="shared" ref="F258:L258" si="166">AND($BG54=FALSE,AND(F156&lt;&gt;"",F156=FALSE),F54="")</f>
        <v>1</v>
      </c>
      <c r="G258" s="279" t="b">
        <f t="shared" si="166"/>
        <v>0</v>
      </c>
      <c r="H258" s="279" t="b">
        <f t="shared" si="166"/>
        <v>1</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1</v>
      </c>
      <c r="Q258" s="279" t="b">
        <f t="shared" si="161"/>
        <v>1</v>
      </c>
      <c r="AB258" s="279" t="b">
        <f t="shared" si="161"/>
        <v>1</v>
      </c>
      <c r="AC258" s="279" t="b">
        <f t="shared" si="161"/>
        <v>1</v>
      </c>
      <c r="AD258" s="279" t="b">
        <f t="shared" si="161"/>
        <v>1</v>
      </c>
      <c r="AE258" s="279" t="b">
        <f t="shared" si="161"/>
        <v>1</v>
      </c>
      <c r="AF258" s="279" t="b">
        <f t="shared" si="161"/>
        <v>1</v>
      </c>
      <c r="AG258" s="279" t="b">
        <f t="shared" si="161"/>
        <v>1</v>
      </c>
      <c r="AH258" s="279" t="b">
        <f t="shared" si="161"/>
        <v>1</v>
      </c>
      <c r="AI258" s="279" t="b">
        <f t="shared" si="161"/>
        <v>1</v>
      </c>
      <c r="AJ258" s="279" t="b">
        <f t="shared" si="161"/>
        <v>1</v>
      </c>
      <c r="AK258" s="279" t="b">
        <f t="shared" si="161"/>
        <v>1</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25">
      <c r="A259" s="275" t="s">
        <v>3</v>
      </c>
      <c r="C259" s="275">
        <v>46</v>
      </c>
      <c r="F259" s="279" t="b">
        <f t="shared" ref="F259:L259" si="169">AND($BG55=FALSE,AND(F157&lt;&gt;"",F157=FALSE),F55="")</f>
        <v>1</v>
      </c>
      <c r="G259" s="279" t="b">
        <f t="shared" si="169"/>
        <v>0</v>
      </c>
      <c r="H259" s="279" t="b">
        <f t="shared" si="169"/>
        <v>1</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1</v>
      </c>
      <c r="Q259" s="279" t="b">
        <f t="shared" si="161"/>
        <v>1</v>
      </c>
      <c r="AB259" s="279" t="b">
        <f t="shared" si="161"/>
        <v>1</v>
      </c>
      <c r="AC259" s="279" t="b">
        <f t="shared" si="161"/>
        <v>1</v>
      </c>
      <c r="AD259" s="279" t="b">
        <f t="shared" si="161"/>
        <v>1</v>
      </c>
      <c r="AE259" s="279" t="b">
        <f t="shared" si="161"/>
        <v>1</v>
      </c>
      <c r="AF259" s="279" t="b">
        <f t="shared" si="161"/>
        <v>1</v>
      </c>
      <c r="AG259" s="279" t="b">
        <f t="shared" si="161"/>
        <v>1</v>
      </c>
      <c r="AH259" s="279" t="b">
        <f t="shared" si="161"/>
        <v>1</v>
      </c>
      <c r="AI259" s="279" t="b">
        <f t="shared" si="161"/>
        <v>1</v>
      </c>
      <c r="AJ259" s="279" t="b">
        <f t="shared" si="161"/>
        <v>1</v>
      </c>
      <c r="AK259" s="279" t="b">
        <f t="shared" si="161"/>
        <v>1</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25">
      <c r="A260" s="275" t="s">
        <v>3</v>
      </c>
      <c r="C260" s="275">
        <v>47</v>
      </c>
      <c r="F260" s="279" t="b">
        <f t="shared" ref="F260:L260" si="172">AND($BG56=FALSE,AND(F158&lt;&gt;"",F158=FALSE),F56="")</f>
        <v>1</v>
      </c>
      <c r="G260" s="279" t="b">
        <f t="shared" si="172"/>
        <v>0</v>
      </c>
      <c r="H260" s="279" t="b">
        <f t="shared" si="172"/>
        <v>1</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1</v>
      </c>
      <c r="Q260" s="279" t="b">
        <f t="shared" si="161"/>
        <v>1</v>
      </c>
      <c r="AB260" s="279" t="b">
        <f t="shared" si="161"/>
        <v>1</v>
      </c>
      <c r="AC260" s="279" t="b">
        <f t="shared" si="161"/>
        <v>1</v>
      </c>
      <c r="AD260" s="279" t="b">
        <f t="shared" si="161"/>
        <v>1</v>
      </c>
      <c r="AE260" s="279" t="b">
        <f t="shared" si="161"/>
        <v>1</v>
      </c>
      <c r="AF260" s="279" t="b">
        <f t="shared" si="161"/>
        <v>1</v>
      </c>
      <c r="AG260" s="279" t="b">
        <f t="shared" si="161"/>
        <v>1</v>
      </c>
      <c r="AH260" s="279" t="b">
        <f t="shared" si="161"/>
        <v>1</v>
      </c>
      <c r="AI260" s="279" t="b">
        <f t="shared" si="161"/>
        <v>1</v>
      </c>
      <c r="AJ260" s="279" t="b">
        <f t="shared" si="161"/>
        <v>1</v>
      </c>
      <c r="AK260" s="279" t="b">
        <f t="shared" si="161"/>
        <v>1</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25">
      <c r="A261" s="275" t="s">
        <v>3</v>
      </c>
      <c r="C261" s="275">
        <v>48</v>
      </c>
      <c r="F261" s="279" t="b">
        <f t="shared" ref="F261:L261" si="175">AND($BG57=FALSE,AND(F159&lt;&gt;"",F159=FALSE),F57="")</f>
        <v>1</v>
      </c>
      <c r="G261" s="279" t="b">
        <f t="shared" si="175"/>
        <v>0</v>
      </c>
      <c r="H261" s="279" t="b">
        <f t="shared" si="175"/>
        <v>1</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1</v>
      </c>
      <c r="Q261" s="279" t="b">
        <f t="shared" si="161"/>
        <v>1</v>
      </c>
      <c r="AB261" s="279" t="b">
        <f t="shared" si="161"/>
        <v>1</v>
      </c>
      <c r="AC261" s="279" t="b">
        <f t="shared" si="161"/>
        <v>1</v>
      </c>
      <c r="AD261" s="279" t="b">
        <f t="shared" si="161"/>
        <v>1</v>
      </c>
      <c r="AE261" s="279" t="b">
        <f t="shared" si="161"/>
        <v>1</v>
      </c>
      <c r="AF261" s="279" t="b">
        <f t="shared" si="161"/>
        <v>1</v>
      </c>
      <c r="AG261" s="279" t="b">
        <f t="shared" si="161"/>
        <v>1</v>
      </c>
      <c r="AH261" s="279" t="b">
        <f t="shared" si="161"/>
        <v>1</v>
      </c>
      <c r="AI261" s="279" t="b">
        <f t="shared" si="161"/>
        <v>1</v>
      </c>
      <c r="AJ261" s="279" t="b">
        <f t="shared" si="161"/>
        <v>1</v>
      </c>
      <c r="AK261" s="279" t="b">
        <f t="shared" si="161"/>
        <v>1</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25">
      <c r="A262" s="275" t="s">
        <v>3</v>
      </c>
      <c r="C262" s="275">
        <v>49</v>
      </c>
      <c r="F262" s="279" t="b">
        <f t="shared" ref="F262:L262" si="178">AND($BG58=FALSE,AND(F160&lt;&gt;"",F160=FALSE),F58="")</f>
        <v>1</v>
      </c>
      <c r="G262" s="279" t="b">
        <f t="shared" si="178"/>
        <v>0</v>
      </c>
      <c r="H262" s="279" t="b">
        <f t="shared" si="178"/>
        <v>1</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1</v>
      </c>
      <c r="Q262" s="279" t="b">
        <f t="shared" si="161"/>
        <v>1</v>
      </c>
      <c r="AB262" s="279" t="b">
        <f t="shared" si="161"/>
        <v>1</v>
      </c>
      <c r="AC262" s="279" t="b">
        <f t="shared" si="161"/>
        <v>1</v>
      </c>
      <c r="AD262" s="279" t="b">
        <f t="shared" si="161"/>
        <v>1</v>
      </c>
      <c r="AE262" s="279" t="b">
        <f t="shared" si="161"/>
        <v>1</v>
      </c>
      <c r="AF262" s="279" t="b">
        <f t="shared" si="161"/>
        <v>1</v>
      </c>
      <c r="AG262" s="279" t="b">
        <f t="shared" si="161"/>
        <v>1</v>
      </c>
      <c r="AH262" s="279" t="b">
        <f t="shared" si="161"/>
        <v>1</v>
      </c>
      <c r="AI262" s="279" t="b">
        <f t="shared" si="161"/>
        <v>1</v>
      </c>
      <c r="AJ262" s="279" t="b">
        <f t="shared" si="161"/>
        <v>1</v>
      </c>
      <c r="AK262" s="279" t="b">
        <f t="shared" si="161"/>
        <v>1</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25">
      <c r="A263" s="275" t="s">
        <v>3</v>
      </c>
      <c r="C263" s="275">
        <v>50</v>
      </c>
      <c r="F263" s="279" t="b">
        <f t="shared" ref="F263:L263" si="181">AND($BG59=FALSE,AND(F161&lt;&gt;"",F161=FALSE),F59="")</f>
        <v>1</v>
      </c>
      <c r="G263" s="279" t="b">
        <f t="shared" si="181"/>
        <v>0</v>
      </c>
      <c r="H263" s="279" t="b">
        <f t="shared" si="181"/>
        <v>1</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1</v>
      </c>
      <c r="Q263" s="279" t="b">
        <f t="shared" si="161"/>
        <v>1</v>
      </c>
      <c r="AB263" s="279" t="b">
        <f t="shared" si="161"/>
        <v>1</v>
      </c>
      <c r="AC263" s="279" t="b">
        <f t="shared" si="161"/>
        <v>1</v>
      </c>
      <c r="AD263" s="279" t="b">
        <f t="shared" si="161"/>
        <v>1</v>
      </c>
      <c r="AE263" s="279" t="b">
        <f t="shared" si="161"/>
        <v>1</v>
      </c>
      <c r="AF263" s="279" t="b">
        <f t="shared" si="161"/>
        <v>1</v>
      </c>
      <c r="AG263" s="279" t="b">
        <f t="shared" si="161"/>
        <v>1</v>
      </c>
      <c r="AH263" s="279" t="b">
        <f t="shared" si="161"/>
        <v>1</v>
      </c>
      <c r="AI263" s="279" t="b">
        <f t="shared" si="161"/>
        <v>1</v>
      </c>
      <c r="AJ263" s="279" t="b">
        <f t="shared" si="161"/>
        <v>1</v>
      </c>
      <c r="AK263" s="279" t="b">
        <f t="shared" si="161"/>
        <v>1</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25">
      <c r="A264" s="275" t="s">
        <v>3</v>
      </c>
      <c r="C264" s="275">
        <v>51</v>
      </c>
      <c r="F264" s="279" t="b">
        <f t="shared" ref="F264:L264" si="184">AND($BG60=FALSE,AND(F162&lt;&gt;"",F162=FALSE),F60="")</f>
        <v>1</v>
      </c>
      <c r="G264" s="279" t="b">
        <f t="shared" si="184"/>
        <v>0</v>
      </c>
      <c r="H264" s="279" t="b">
        <f t="shared" si="184"/>
        <v>1</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1</v>
      </c>
      <c r="Q264" s="279" t="b">
        <f t="shared" si="161"/>
        <v>1</v>
      </c>
      <c r="AB264" s="279" t="b">
        <f t="shared" si="161"/>
        <v>1</v>
      </c>
      <c r="AC264" s="279" t="b">
        <f t="shared" si="161"/>
        <v>1</v>
      </c>
      <c r="AD264" s="279" t="b">
        <f t="shared" si="161"/>
        <v>1</v>
      </c>
      <c r="AE264" s="279" t="b">
        <f t="shared" si="161"/>
        <v>1</v>
      </c>
      <c r="AF264" s="279" t="b">
        <f t="shared" si="161"/>
        <v>1</v>
      </c>
      <c r="AG264" s="279" t="b">
        <f t="shared" si="161"/>
        <v>1</v>
      </c>
      <c r="AH264" s="279" t="b">
        <f t="shared" si="161"/>
        <v>1</v>
      </c>
      <c r="AI264" s="279" t="b">
        <f t="shared" si="161"/>
        <v>1</v>
      </c>
      <c r="AJ264" s="279" t="b">
        <f t="shared" si="161"/>
        <v>1</v>
      </c>
      <c r="AK264" s="279" t="b">
        <f t="shared" si="161"/>
        <v>1</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25">
      <c r="A265" s="275" t="s">
        <v>3</v>
      </c>
      <c r="C265" s="275">
        <v>52</v>
      </c>
      <c r="F265" s="279" t="b">
        <f t="shared" ref="F265:L265" si="187">AND($BG61=FALSE,AND(F163&lt;&gt;"",F163=FALSE),F61="")</f>
        <v>1</v>
      </c>
      <c r="G265" s="279" t="b">
        <f t="shared" si="187"/>
        <v>0</v>
      </c>
      <c r="H265" s="279" t="b">
        <f t="shared" si="187"/>
        <v>1</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1</v>
      </c>
      <c r="Q265" s="279" t="b">
        <f t="shared" si="161"/>
        <v>1</v>
      </c>
      <c r="AB265" s="279" t="b">
        <f t="shared" si="161"/>
        <v>1</v>
      </c>
      <c r="AC265" s="279" t="b">
        <f t="shared" si="161"/>
        <v>1</v>
      </c>
      <c r="AD265" s="279" t="b">
        <f t="shared" si="161"/>
        <v>1</v>
      </c>
      <c r="AE265" s="279" t="b">
        <f t="shared" si="161"/>
        <v>1</v>
      </c>
      <c r="AF265" s="279" t="b">
        <f t="shared" si="161"/>
        <v>1</v>
      </c>
      <c r="AG265" s="279" t="b">
        <f t="shared" si="161"/>
        <v>1</v>
      </c>
      <c r="AH265" s="279" t="b">
        <f t="shared" si="161"/>
        <v>1</v>
      </c>
      <c r="AI265" s="279" t="b">
        <f t="shared" ref="AI265:AP265" si="189">AND($BG61=FALSE,AND(AI163&lt;&gt;"",AI163=FALSE),AI61="")</f>
        <v>1</v>
      </c>
      <c r="AJ265" s="279" t="b">
        <f t="shared" si="189"/>
        <v>1</v>
      </c>
      <c r="AK265" s="279" t="b">
        <f t="shared" si="189"/>
        <v>1</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25">
      <c r="A266" s="275" t="s">
        <v>3</v>
      </c>
      <c r="C266" s="275">
        <v>53</v>
      </c>
      <c r="F266" s="279" t="b">
        <f t="shared" ref="F266:L266" si="191">AND($BG62=FALSE,AND(F164&lt;&gt;"",F164=FALSE),F62="")</f>
        <v>1</v>
      </c>
      <c r="G266" s="279" t="b">
        <f t="shared" si="191"/>
        <v>0</v>
      </c>
      <c r="H266" s="279" t="b">
        <f t="shared" si="191"/>
        <v>1</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1</v>
      </c>
      <c r="Q266" s="279" t="b">
        <f t="shared" si="192"/>
        <v>1</v>
      </c>
      <c r="AB266" s="279" t="b">
        <f t="shared" si="192"/>
        <v>1</v>
      </c>
      <c r="AC266" s="279" t="b">
        <f t="shared" si="192"/>
        <v>1</v>
      </c>
      <c r="AD266" s="279" t="b">
        <f t="shared" si="192"/>
        <v>1</v>
      </c>
      <c r="AE266" s="279" t="b">
        <f t="shared" si="192"/>
        <v>1</v>
      </c>
      <c r="AF266" s="279" t="b">
        <f t="shared" si="192"/>
        <v>1</v>
      </c>
      <c r="AG266" s="279" t="b">
        <f t="shared" si="192"/>
        <v>1</v>
      </c>
      <c r="AH266" s="279" t="b">
        <f t="shared" si="192"/>
        <v>1</v>
      </c>
      <c r="AI266" s="279" t="b">
        <f t="shared" si="192"/>
        <v>1</v>
      </c>
      <c r="AJ266" s="279" t="b">
        <f t="shared" si="192"/>
        <v>1</v>
      </c>
      <c r="AK266" s="279" t="b">
        <f t="shared" si="192"/>
        <v>1</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25">
      <c r="A267" s="275" t="s">
        <v>3</v>
      </c>
      <c r="C267" s="275">
        <v>54</v>
      </c>
      <c r="F267" s="279" t="b">
        <f t="shared" ref="F267:L267" si="194">AND($BG63=FALSE,AND(F165&lt;&gt;"",F165=FALSE),F63="")</f>
        <v>1</v>
      </c>
      <c r="G267" s="279" t="b">
        <f t="shared" si="194"/>
        <v>0</v>
      </c>
      <c r="H267" s="279" t="b">
        <f t="shared" si="194"/>
        <v>1</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1</v>
      </c>
      <c r="Q267" s="279" t="b">
        <f t="shared" si="192"/>
        <v>1</v>
      </c>
      <c r="AB267" s="279" t="b">
        <f t="shared" si="192"/>
        <v>1</v>
      </c>
      <c r="AC267" s="279" t="b">
        <f t="shared" si="192"/>
        <v>1</v>
      </c>
      <c r="AD267" s="279" t="b">
        <f t="shared" si="192"/>
        <v>1</v>
      </c>
      <c r="AE267" s="279" t="b">
        <f t="shared" si="192"/>
        <v>1</v>
      </c>
      <c r="AF267" s="279" t="b">
        <f t="shared" si="192"/>
        <v>1</v>
      </c>
      <c r="AG267" s="279" t="b">
        <f t="shared" si="192"/>
        <v>1</v>
      </c>
      <c r="AH267" s="279" t="b">
        <f t="shared" si="192"/>
        <v>1</v>
      </c>
      <c r="AI267" s="279" t="b">
        <f t="shared" si="192"/>
        <v>1</v>
      </c>
      <c r="AJ267" s="279" t="b">
        <f t="shared" si="192"/>
        <v>1</v>
      </c>
      <c r="AK267" s="279" t="b">
        <f t="shared" si="192"/>
        <v>1</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25">
      <c r="A268" s="275" t="s">
        <v>3</v>
      </c>
      <c r="C268" s="275">
        <v>55</v>
      </c>
      <c r="F268" s="279" t="b">
        <f t="shared" ref="F268:L268" si="197">AND($BG64=FALSE,AND(F166&lt;&gt;"",F166=FALSE),F64="")</f>
        <v>1</v>
      </c>
      <c r="G268" s="279" t="b">
        <f t="shared" si="197"/>
        <v>0</v>
      </c>
      <c r="H268" s="279" t="b">
        <f t="shared" si="197"/>
        <v>1</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1</v>
      </c>
      <c r="Q268" s="279" t="b">
        <f t="shared" si="192"/>
        <v>1</v>
      </c>
      <c r="AB268" s="279" t="b">
        <f t="shared" si="192"/>
        <v>1</v>
      </c>
      <c r="AC268" s="279" t="b">
        <f t="shared" si="192"/>
        <v>1</v>
      </c>
      <c r="AD268" s="279" t="b">
        <f t="shared" si="192"/>
        <v>1</v>
      </c>
      <c r="AE268" s="279" t="b">
        <f t="shared" si="192"/>
        <v>1</v>
      </c>
      <c r="AF268" s="279" t="b">
        <f t="shared" si="192"/>
        <v>1</v>
      </c>
      <c r="AG268" s="279" t="b">
        <f t="shared" si="192"/>
        <v>1</v>
      </c>
      <c r="AH268" s="279" t="b">
        <f t="shared" si="192"/>
        <v>1</v>
      </c>
      <c r="AI268" s="279" t="b">
        <f t="shared" si="192"/>
        <v>1</v>
      </c>
      <c r="AJ268" s="279" t="b">
        <f t="shared" si="192"/>
        <v>1</v>
      </c>
      <c r="AK268" s="279" t="b">
        <f t="shared" si="192"/>
        <v>1</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25">
      <c r="A269" s="275" t="s">
        <v>3</v>
      </c>
      <c r="C269" s="275">
        <v>56</v>
      </c>
      <c r="F269" s="279" t="b">
        <f t="shared" ref="F269:L269" si="200">AND($BG65=FALSE,AND(F167&lt;&gt;"",F167=FALSE),F65="")</f>
        <v>1</v>
      </c>
      <c r="G269" s="279" t="b">
        <f t="shared" si="200"/>
        <v>0</v>
      </c>
      <c r="H269" s="279" t="b">
        <f t="shared" si="200"/>
        <v>1</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1</v>
      </c>
      <c r="Q269" s="279" t="b">
        <f t="shared" si="192"/>
        <v>1</v>
      </c>
      <c r="AB269" s="279" t="b">
        <f t="shared" si="192"/>
        <v>1</v>
      </c>
      <c r="AC269" s="279" t="b">
        <f t="shared" si="192"/>
        <v>1</v>
      </c>
      <c r="AD269" s="279" t="b">
        <f t="shared" si="192"/>
        <v>1</v>
      </c>
      <c r="AE269" s="279" t="b">
        <f t="shared" si="192"/>
        <v>1</v>
      </c>
      <c r="AF269" s="279" t="b">
        <f t="shared" si="192"/>
        <v>1</v>
      </c>
      <c r="AG269" s="279" t="b">
        <f t="shared" si="192"/>
        <v>1</v>
      </c>
      <c r="AH269" s="279" t="b">
        <f t="shared" si="192"/>
        <v>1</v>
      </c>
      <c r="AI269" s="279" t="b">
        <f t="shared" si="192"/>
        <v>1</v>
      </c>
      <c r="AJ269" s="279" t="b">
        <f t="shared" si="192"/>
        <v>1</v>
      </c>
      <c r="AK269" s="279" t="b">
        <f t="shared" si="192"/>
        <v>1</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25">
      <c r="A270" s="275" t="s">
        <v>3</v>
      </c>
      <c r="C270" s="275">
        <v>57</v>
      </c>
      <c r="F270" s="279" t="b">
        <f t="shared" ref="F270:L270" si="203">AND($BG66=FALSE,AND(F168&lt;&gt;"",F168=FALSE),F66="")</f>
        <v>1</v>
      </c>
      <c r="G270" s="279" t="b">
        <f t="shared" si="203"/>
        <v>0</v>
      </c>
      <c r="H270" s="279" t="b">
        <f t="shared" si="203"/>
        <v>1</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1</v>
      </c>
      <c r="Q270" s="279" t="b">
        <f t="shared" si="192"/>
        <v>1</v>
      </c>
      <c r="AB270" s="279" t="b">
        <f t="shared" si="192"/>
        <v>1</v>
      </c>
      <c r="AC270" s="279" t="b">
        <f t="shared" si="192"/>
        <v>1</v>
      </c>
      <c r="AD270" s="279" t="b">
        <f t="shared" si="192"/>
        <v>1</v>
      </c>
      <c r="AE270" s="279" t="b">
        <f t="shared" si="192"/>
        <v>1</v>
      </c>
      <c r="AF270" s="279" t="b">
        <f t="shared" si="192"/>
        <v>1</v>
      </c>
      <c r="AG270" s="279" t="b">
        <f t="shared" si="192"/>
        <v>1</v>
      </c>
      <c r="AH270" s="279" t="b">
        <f t="shared" si="192"/>
        <v>1</v>
      </c>
      <c r="AI270" s="279" t="b">
        <f t="shared" si="192"/>
        <v>1</v>
      </c>
      <c r="AJ270" s="279" t="b">
        <f t="shared" si="192"/>
        <v>1</v>
      </c>
      <c r="AK270" s="279" t="b">
        <f t="shared" si="192"/>
        <v>1</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25">
      <c r="A271" s="275" t="s">
        <v>3</v>
      </c>
      <c r="C271" s="275">
        <v>58</v>
      </c>
      <c r="F271" s="279" t="b">
        <f t="shared" ref="F271:L271" si="206">AND($BG67=FALSE,AND(F169&lt;&gt;"",F169=FALSE),F67="")</f>
        <v>1</v>
      </c>
      <c r="G271" s="279" t="b">
        <f t="shared" si="206"/>
        <v>0</v>
      </c>
      <c r="H271" s="279" t="b">
        <f t="shared" si="206"/>
        <v>1</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1</v>
      </c>
      <c r="Q271" s="279" t="b">
        <f t="shared" si="192"/>
        <v>1</v>
      </c>
      <c r="AB271" s="279" t="b">
        <f t="shared" si="192"/>
        <v>1</v>
      </c>
      <c r="AC271" s="279" t="b">
        <f t="shared" si="192"/>
        <v>1</v>
      </c>
      <c r="AD271" s="279" t="b">
        <f t="shared" si="192"/>
        <v>1</v>
      </c>
      <c r="AE271" s="279" t="b">
        <f t="shared" si="192"/>
        <v>1</v>
      </c>
      <c r="AF271" s="279" t="b">
        <f t="shared" si="192"/>
        <v>1</v>
      </c>
      <c r="AG271" s="279" t="b">
        <f t="shared" si="192"/>
        <v>1</v>
      </c>
      <c r="AH271" s="279" t="b">
        <f t="shared" si="192"/>
        <v>1</v>
      </c>
      <c r="AI271" s="279" t="b">
        <f t="shared" si="192"/>
        <v>1</v>
      </c>
      <c r="AJ271" s="279" t="b">
        <f t="shared" si="192"/>
        <v>1</v>
      </c>
      <c r="AK271" s="279" t="b">
        <f t="shared" si="192"/>
        <v>1</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25">
      <c r="A272" s="275" t="s">
        <v>3</v>
      </c>
      <c r="C272" s="275">
        <v>59</v>
      </c>
      <c r="F272" s="279" t="b">
        <f t="shared" ref="F272:L272" si="209">AND($BG68=FALSE,AND(F170&lt;&gt;"",F170=FALSE),F68="")</f>
        <v>1</v>
      </c>
      <c r="G272" s="279" t="b">
        <f t="shared" si="209"/>
        <v>0</v>
      </c>
      <c r="H272" s="279" t="b">
        <f t="shared" si="209"/>
        <v>1</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1</v>
      </c>
      <c r="Q272" s="279" t="b">
        <f t="shared" si="192"/>
        <v>1</v>
      </c>
      <c r="AB272" s="279" t="b">
        <f t="shared" si="192"/>
        <v>1</v>
      </c>
      <c r="AC272" s="279" t="b">
        <f t="shared" si="192"/>
        <v>1</v>
      </c>
      <c r="AD272" s="279" t="b">
        <f t="shared" si="192"/>
        <v>1</v>
      </c>
      <c r="AE272" s="279" t="b">
        <f t="shared" si="192"/>
        <v>1</v>
      </c>
      <c r="AF272" s="279" t="b">
        <f t="shared" si="192"/>
        <v>1</v>
      </c>
      <c r="AG272" s="279" t="b">
        <f t="shared" si="192"/>
        <v>1</v>
      </c>
      <c r="AH272" s="279" t="b">
        <f t="shared" si="192"/>
        <v>1</v>
      </c>
      <c r="AI272" s="279" t="b">
        <f t="shared" si="192"/>
        <v>1</v>
      </c>
      <c r="AJ272" s="279" t="b">
        <f t="shared" si="192"/>
        <v>1</v>
      </c>
      <c r="AK272" s="279" t="b">
        <f t="shared" si="192"/>
        <v>1</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25">
      <c r="A273" s="275" t="s">
        <v>3</v>
      </c>
      <c r="C273" s="275">
        <v>60</v>
      </c>
      <c r="F273" s="279" t="b">
        <f t="shared" ref="F273:L273" si="212">AND($BG69=FALSE,AND(F171&lt;&gt;"",F171=FALSE),F69="")</f>
        <v>1</v>
      </c>
      <c r="G273" s="279" t="b">
        <f t="shared" si="212"/>
        <v>0</v>
      </c>
      <c r="H273" s="279" t="b">
        <f t="shared" si="212"/>
        <v>1</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1</v>
      </c>
      <c r="Q273" s="279" t="b">
        <f t="shared" si="192"/>
        <v>1</v>
      </c>
      <c r="AB273" s="279" t="b">
        <f t="shared" si="192"/>
        <v>1</v>
      </c>
      <c r="AC273" s="279" t="b">
        <f t="shared" si="192"/>
        <v>1</v>
      </c>
      <c r="AD273" s="279" t="b">
        <f t="shared" si="192"/>
        <v>1</v>
      </c>
      <c r="AE273" s="279" t="b">
        <f t="shared" si="192"/>
        <v>1</v>
      </c>
      <c r="AF273" s="279" t="b">
        <f t="shared" si="192"/>
        <v>1</v>
      </c>
      <c r="AG273" s="279" t="b">
        <f t="shared" si="192"/>
        <v>1</v>
      </c>
      <c r="AH273" s="279" t="b">
        <f t="shared" si="192"/>
        <v>1</v>
      </c>
      <c r="AI273" s="279" t="b">
        <f t="shared" si="192"/>
        <v>1</v>
      </c>
      <c r="AJ273" s="279" t="b">
        <f t="shared" si="192"/>
        <v>1</v>
      </c>
      <c r="AK273" s="279" t="b">
        <f t="shared" si="192"/>
        <v>1</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25">
      <c r="A274" s="275" t="s">
        <v>3</v>
      </c>
      <c r="C274" s="275">
        <v>61</v>
      </c>
      <c r="F274" s="279" t="b">
        <f t="shared" ref="F274:L274" si="215">AND($BG70=FALSE,AND(F172&lt;&gt;"",F172=FALSE),F70="")</f>
        <v>1</v>
      </c>
      <c r="G274" s="279" t="b">
        <f t="shared" si="215"/>
        <v>0</v>
      </c>
      <c r="H274" s="279" t="b">
        <f t="shared" si="215"/>
        <v>1</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1</v>
      </c>
      <c r="Q274" s="279" t="b">
        <f t="shared" si="192"/>
        <v>1</v>
      </c>
      <c r="AB274" s="279" t="b">
        <f t="shared" si="192"/>
        <v>1</v>
      </c>
      <c r="AC274" s="279" t="b">
        <f t="shared" si="192"/>
        <v>1</v>
      </c>
      <c r="AD274" s="279" t="b">
        <f t="shared" si="192"/>
        <v>1</v>
      </c>
      <c r="AE274" s="279" t="b">
        <f t="shared" si="192"/>
        <v>1</v>
      </c>
      <c r="AF274" s="279" t="b">
        <f t="shared" si="192"/>
        <v>1</v>
      </c>
      <c r="AG274" s="279" t="b">
        <f t="shared" si="192"/>
        <v>1</v>
      </c>
      <c r="AH274" s="279" t="b">
        <f t="shared" si="192"/>
        <v>1</v>
      </c>
      <c r="AI274" s="279" t="b">
        <f t="shared" si="192"/>
        <v>1</v>
      </c>
      <c r="AJ274" s="279" t="b">
        <f t="shared" si="192"/>
        <v>1</v>
      </c>
      <c r="AK274" s="279" t="b">
        <f t="shared" si="192"/>
        <v>1</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25">
      <c r="A275" s="275" t="s">
        <v>3</v>
      </c>
      <c r="C275" s="275">
        <v>62</v>
      </c>
      <c r="F275" s="279" t="b">
        <f t="shared" ref="F275:L275" si="218">AND($BG71=FALSE,AND(F173&lt;&gt;"",F173=FALSE),F71="")</f>
        <v>1</v>
      </c>
      <c r="G275" s="279" t="b">
        <f t="shared" si="218"/>
        <v>0</v>
      </c>
      <c r="H275" s="279" t="b">
        <f t="shared" si="218"/>
        <v>1</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1</v>
      </c>
      <c r="Q275" s="279" t="b">
        <f t="shared" si="192"/>
        <v>1</v>
      </c>
      <c r="AB275" s="279" t="b">
        <f t="shared" si="192"/>
        <v>1</v>
      </c>
      <c r="AC275" s="279" t="b">
        <f t="shared" si="192"/>
        <v>1</v>
      </c>
      <c r="AD275" s="279" t="b">
        <f t="shared" si="192"/>
        <v>1</v>
      </c>
      <c r="AE275" s="279" t="b">
        <f t="shared" si="192"/>
        <v>1</v>
      </c>
      <c r="AF275" s="279" t="b">
        <f t="shared" si="192"/>
        <v>1</v>
      </c>
      <c r="AG275" s="279" t="b">
        <f t="shared" si="192"/>
        <v>1</v>
      </c>
      <c r="AH275" s="279" t="b">
        <f t="shared" si="192"/>
        <v>1</v>
      </c>
      <c r="AI275" s="279" t="b">
        <f t="shared" ref="AI275:AP275" si="220">AND($BG71=FALSE,AND(AI173&lt;&gt;"",AI173=FALSE),AI71="")</f>
        <v>1</v>
      </c>
      <c r="AJ275" s="279" t="b">
        <f t="shared" si="220"/>
        <v>1</v>
      </c>
      <c r="AK275" s="279" t="b">
        <f t="shared" si="220"/>
        <v>1</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25">
      <c r="A276" s="275" t="s">
        <v>3</v>
      </c>
      <c r="C276" s="275">
        <v>63</v>
      </c>
      <c r="F276" s="279" t="b">
        <f t="shared" ref="F276:L276" si="222">AND($BG72=FALSE,AND(F174&lt;&gt;"",F174=FALSE),F72="")</f>
        <v>1</v>
      </c>
      <c r="G276" s="279" t="b">
        <f t="shared" si="222"/>
        <v>0</v>
      </c>
      <c r="H276" s="279" t="b">
        <f t="shared" si="222"/>
        <v>1</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1</v>
      </c>
      <c r="Q276" s="279" t="b">
        <f t="shared" si="223"/>
        <v>1</v>
      </c>
      <c r="AB276" s="279" t="b">
        <f t="shared" si="223"/>
        <v>1</v>
      </c>
      <c r="AC276" s="279" t="b">
        <f t="shared" si="223"/>
        <v>1</v>
      </c>
      <c r="AD276" s="279" t="b">
        <f t="shared" si="223"/>
        <v>1</v>
      </c>
      <c r="AE276" s="279" t="b">
        <f t="shared" si="223"/>
        <v>1</v>
      </c>
      <c r="AF276" s="279" t="b">
        <f t="shared" si="223"/>
        <v>1</v>
      </c>
      <c r="AG276" s="279" t="b">
        <f t="shared" si="223"/>
        <v>1</v>
      </c>
      <c r="AH276" s="279" t="b">
        <f t="shared" si="223"/>
        <v>1</v>
      </c>
      <c r="AI276" s="279" t="b">
        <f t="shared" si="223"/>
        <v>1</v>
      </c>
      <c r="AJ276" s="279" t="b">
        <f t="shared" si="223"/>
        <v>1</v>
      </c>
      <c r="AK276" s="279" t="b">
        <f t="shared" si="223"/>
        <v>1</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25">
      <c r="A277" s="275" t="s">
        <v>3</v>
      </c>
      <c r="C277" s="275">
        <v>64</v>
      </c>
      <c r="F277" s="279" t="b">
        <f t="shared" ref="F277:L277" si="225">AND($BG73=FALSE,AND(F175&lt;&gt;"",F175=FALSE),F73="")</f>
        <v>1</v>
      </c>
      <c r="G277" s="279" t="b">
        <f t="shared" si="225"/>
        <v>0</v>
      </c>
      <c r="H277" s="279" t="b">
        <f t="shared" si="225"/>
        <v>1</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1</v>
      </c>
      <c r="Q277" s="279" t="b">
        <f t="shared" si="223"/>
        <v>1</v>
      </c>
      <c r="AB277" s="279" t="b">
        <f t="shared" si="223"/>
        <v>1</v>
      </c>
      <c r="AC277" s="279" t="b">
        <f t="shared" si="223"/>
        <v>1</v>
      </c>
      <c r="AD277" s="279" t="b">
        <f t="shared" si="223"/>
        <v>1</v>
      </c>
      <c r="AE277" s="279" t="b">
        <f t="shared" si="223"/>
        <v>1</v>
      </c>
      <c r="AF277" s="279" t="b">
        <f t="shared" si="223"/>
        <v>1</v>
      </c>
      <c r="AG277" s="279" t="b">
        <f t="shared" si="223"/>
        <v>1</v>
      </c>
      <c r="AH277" s="279" t="b">
        <f t="shared" si="223"/>
        <v>1</v>
      </c>
      <c r="AI277" s="279" t="b">
        <f t="shared" si="223"/>
        <v>1</v>
      </c>
      <c r="AJ277" s="279" t="b">
        <f t="shared" si="223"/>
        <v>1</v>
      </c>
      <c r="AK277" s="279" t="b">
        <f t="shared" si="223"/>
        <v>1</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25">
      <c r="A278" s="275" t="s">
        <v>3</v>
      </c>
      <c r="C278" s="275">
        <v>65</v>
      </c>
      <c r="F278" s="279" t="b">
        <f t="shared" ref="F278:L278" si="228">AND($BG74=FALSE,AND(F176&lt;&gt;"",F176=FALSE),F74="")</f>
        <v>1</v>
      </c>
      <c r="G278" s="279" t="b">
        <f t="shared" si="228"/>
        <v>0</v>
      </c>
      <c r="H278" s="279" t="b">
        <f t="shared" si="228"/>
        <v>1</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1</v>
      </c>
      <c r="Q278" s="279" t="b">
        <f t="shared" si="223"/>
        <v>1</v>
      </c>
      <c r="AB278" s="279" t="b">
        <f t="shared" si="223"/>
        <v>1</v>
      </c>
      <c r="AC278" s="279" t="b">
        <f t="shared" si="223"/>
        <v>1</v>
      </c>
      <c r="AD278" s="279" t="b">
        <f t="shared" si="223"/>
        <v>1</v>
      </c>
      <c r="AE278" s="279" t="b">
        <f t="shared" si="223"/>
        <v>1</v>
      </c>
      <c r="AF278" s="279" t="b">
        <f t="shared" si="223"/>
        <v>1</v>
      </c>
      <c r="AG278" s="279" t="b">
        <f t="shared" si="223"/>
        <v>1</v>
      </c>
      <c r="AH278" s="279" t="b">
        <f t="shared" si="223"/>
        <v>1</v>
      </c>
      <c r="AI278" s="279" t="b">
        <f t="shared" si="223"/>
        <v>1</v>
      </c>
      <c r="AJ278" s="279" t="b">
        <f t="shared" si="223"/>
        <v>1</v>
      </c>
      <c r="AK278" s="279" t="b">
        <f t="shared" si="223"/>
        <v>1</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25">
      <c r="A279" s="275" t="s">
        <v>3</v>
      </c>
      <c r="C279" s="275">
        <v>66</v>
      </c>
      <c r="F279" s="279" t="b">
        <f t="shared" ref="F279:L279" si="231">AND($BG75=FALSE,AND(F177&lt;&gt;"",F177=FALSE),F75="")</f>
        <v>1</v>
      </c>
      <c r="G279" s="279" t="b">
        <f t="shared" si="231"/>
        <v>0</v>
      </c>
      <c r="H279" s="279" t="b">
        <f t="shared" si="231"/>
        <v>1</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1</v>
      </c>
      <c r="Q279" s="279" t="b">
        <f t="shared" si="223"/>
        <v>1</v>
      </c>
      <c r="AB279" s="279" t="b">
        <f t="shared" si="223"/>
        <v>1</v>
      </c>
      <c r="AC279" s="279" t="b">
        <f t="shared" si="223"/>
        <v>1</v>
      </c>
      <c r="AD279" s="279" t="b">
        <f t="shared" si="223"/>
        <v>1</v>
      </c>
      <c r="AE279" s="279" t="b">
        <f t="shared" si="223"/>
        <v>1</v>
      </c>
      <c r="AF279" s="279" t="b">
        <f t="shared" si="223"/>
        <v>1</v>
      </c>
      <c r="AG279" s="279" t="b">
        <f t="shared" si="223"/>
        <v>1</v>
      </c>
      <c r="AH279" s="279" t="b">
        <f t="shared" si="223"/>
        <v>1</v>
      </c>
      <c r="AI279" s="279" t="b">
        <f t="shared" si="223"/>
        <v>1</v>
      </c>
      <c r="AJ279" s="279" t="b">
        <f t="shared" si="223"/>
        <v>1</v>
      </c>
      <c r="AK279" s="279" t="b">
        <f t="shared" si="223"/>
        <v>1</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25">
      <c r="A280" s="275" t="s">
        <v>3</v>
      </c>
      <c r="C280" s="275">
        <v>67</v>
      </c>
      <c r="F280" s="279" t="b">
        <f t="shared" ref="F280:L280" si="234">AND($BG76=FALSE,AND(F178&lt;&gt;"",F178=FALSE),F76="")</f>
        <v>1</v>
      </c>
      <c r="G280" s="279" t="b">
        <f t="shared" si="234"/>
        <v>0</v>
      </c>
      <c r="H280" s="279" t="b">
        <f t="shared" si="234"/>
        <v>1</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1</v>
      </c>
      <c r="Q280" s="279" t="b">
        <f t="shared" si="223"/>
        <v>1</v>
      </c>
      <c r="AB280" s="279" t="b">
        <f t="shared" si="223"/>
        <v>1</v>
      </c>
      <c r="AC280" s="279" t="b">
        <f t="shared" si="223"/>
        <v>1</v>
      </c>
      <c r="AD280" s="279" t="b">
        <f t="shared" si="223"/>
        <v>1</v>
      </c>
      <c r="AE280" s="279" t="b">
        <f t="shared" si="223"/>
        <v>1</v>
      </c>
      <c r="AF280" s="279" t="b">
        <f t="shared" si="223"/>
        <v>1</v>
      </c>
      <c r="AG280" s="279" t="b">
        <f t="shared" si="223"/>
        <v>1</v>
      </c>
      <c r="AH280" s="279" t="b">
        <f t="shared" si="223"/>
        <v>1</v>
      </c>
      <c r="AI280" s="279" t="b">
        <f t="shared" si="223"/>
        <v>1</v>
      </c>
      <c r="AJ280" s="279" t="b">
        <f t="shared" si="223"/>
        <v>1</v>
      </c>
      <c r="AK280" s="279" t="b">
        <f t="shared" si="223"/>
        <v>1</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25">
      <c r="A281" s="275" t="s">
        <v>3</v>
      </c>
      <c r="C281" s="275">
        <v>68</v>
      </c>
      <c r="F281" s="279" t="b">
        <f t="shared" ref="F281:L281" si="237">AND($BG77=FALSE,AND(F179&lt;&gt;"",F179=FALSE),F77="")</f>
        <v>1</v>
      </c>
      <c r="G281" s="279" t="b">
        <f t="shared" si="237"/>
        <v>0</v>
      </c>
      <c r="H281" s="279" t="b">
        <f t="shared" si="237"/>
        <v>1</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1</v>
      </c>
      <c r="Q281" s="279" t="b">
        <f t="shared" si="223"/>
        <v>1</v>
      </c>
      <c r="AB281" s="279" t="b">
        <f t="shared" si="223"/>
        <v>1</v>
      </c>
      <c r="AC281" s="279" t="b">
        <f t="shared" si="223"/>
        <v>1</v>
      </c>
      <c r="AD281" s="279" t="b">
        <f t="shared" si="223"/>
        <v>1</v>
      </c>
      <c r="AE281" s="279" t="b">
        <f t="shared" si="223"/>
        <v>1</v>
      </c>
      <c r="AF281" s="279" t="b">
        <f t="shared" si="223"/>
        <v>1</v>
      </c>
      <c r="AG281" s="279" t="b">
        <f t="shared" si="223"/>
        <v>1</v>
      </c>
      <c r="AH281" s="279" t="b">
        <f t="shared" si="223"/>
        <v>1</v>
      </c>
      <c r="AI281" s="279" t="b">
        <f t="shared" si="223"/>
        <v>1</v>
      </c>
      <c r="AJ281" s="279" t="b">
        <f t="shared" si="223"/>
        <v>1</v>
      </c>
      <c r="AK281" s="279" t="b">
        <f t="shared" si="223"/>
        <v>1</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25">
      <c r="A282" s="275" t="s">
        <v>3</v>
      </c>
      <c r="C282" s="275">
        <v>69</v>
      </c>
      <c r="F282" s="279" t="b">
        <f t="shared" ref="F282:L282" si="240">AND($BG78=FALSE,AND(F180&lt;&gt;"",F180=FALSE),F78="")</f>
        <v>1</v>
      </c>
      <c r="G282" s="279" t="b">
        <f t="shared" si="240"/>
        <v>0</v>
      </c>
      <c r="H282" s="279" t="b">
        <f t="shared" si="240"/>
        <v>1</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1</v>
      </c>
      <c r="Q282" s="279" t="b">
        <f t="shared" si="223"/>
        <v>1</v>
      </c>
      <c r="AB282" s="279" t="b">
        <f t="shared" si="223"/>
        <v>1</v>
      </c>
      <c r="AC282" s="279" t="b">
        <f t="shared" si="223"/>
        <v>1</v>
      </c>
      <c r="AD282" s="279" t="b">
        <f t="shared" si="223"/>
        <v>1</v>
      </c>
      <c r="AE282" s="279" t="b">
        <f t="shared" si="223"/>
        <v>1</v>
      </c>
      <c r="AF282" s="279" t="b">
        <f t="shared" si="223"/>
        <v>1</v>
      </c>
      <c r="AG282" s="279" t="b">
        <f t="shared" si="223"/>
        <v>1</v>
      </c>
      <c r="AH282" s="279" t="b">
        <f t="shared" si="223"/>
        <v>1</v>
      </c>
      <c r="AI282" s="279" t="b">
        <f t="shared" si="223"/>
        <v>1</v>
      </c>
      <c r="AJ282" s="279" t="b">
        <f t="shared" si="223"/>
        <v>1</v>
      </c>
      <c r="AK282" s="279" t="b">
        <f t="shared" si="223"/>
        <v>1</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25">
      <c r="A283" s="275" t="s">
        <v>3</v>
      </c>
      <c r="C283" s="275">
        <v>70</v>
      </c>
      <c r="F283" s="279" t="b">
        <f t="shared" ref="F283:L283" si="243">AND($BG79=FALSE,AND(F181&lt;&gt;"",F181=FALSE),F79="")</f>
        <v>1</v>
      </c>
      <c r="G283" s="279" t="b">
        <f t="shared" si="243"/>
        <v>0</v>
      </c>
      <c r="H283" s="279" t="b">
        <f t="shared" si="243"/>
        <v>1</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1</v>
      </c>
      <c r="Q283" s="279" t="b">
        <f t="shared" si="223"/>
        <v>1</v>
      </c>
      <c r="AB283" s="279" t="b">
        <f t="shared" si="223"/>
        <v>1</v>
      </c>
      <c r="AC283" s="279" t="b">
        <f t="shared" si="223"/>
        <v>1</v>
      </c>
      <c r="AD283" s="279" t="b">
        <f t="shared" si="223"/>
        <v>1</v>
      </c>
      <c r="AE283" s="279" t="b">
        <f t="shared" si="223"/>
        <v>1</v>
      </c>
      <c r="AF283" s="279" t="b">
        <f t="shared" si="223"/>
        <v>1</v>
      </c>
      <c r="AG283" s="279" t="b">
        <f t="shared" si="223"/>
        <v>1</v>
      </c>
      <c r="AH283" s="279" t="b">
        <f t="shared" si="223"/>
        <v>1</v>
      </c>
      <c r="AI283" s="279" t="b">
        <f t="shared" si="223"/>
        <v>1</v>
      </c>
      <c r="AJ283" s="279" t="b">
        <f t="shared" si="223"/>
        <v>1</v>
      </c>
      <c r="AK283" s="279" t="b">
        <f t="shared" si="223"/>
        <v>1</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25">
      <c r="A284" s="275" t="s">
        <v>3</v>
      </c>
      <c r="C284" s="275">
        <v>71</v>
      </c>
      <c r="F284" s="279" t="b">
        <f t="shared" ref="F284:L284" si="246">AND($BG80=FALSE,AND(F182&lt;&gt;"",F182=FALSE),F80="")</f>
        <v>1</v>
      </c>
      <c r="G284" s="279" t="b">
        <f t="shared" si="246"/>
        <v>0</v>
      </c>
      <c r="H284" s="279" t="b">
        <f t="shared" si="246"/>
        <v>1</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1</v>
      </c>
      <c r="Q284" s="279" t="b">
        <f t="shared" si="223"/>
        <v>1</v>
      </c>
      <c r="AB284" s="279" t="b">
        <f t="shared" si="223"/>
        <v>1</v>
      </c>
      <c r="AC284" s="279" t="b">
        <f t="shared" si="223"/>
        <v>1</v>
      </c>
      <c r="AD284" s="279" t="b">
        <f t="shared" si="223"/>
        <v>1</v>
      </c>
      <c r="AE284" s="279" t="b">
        <f t="shared" si="223"/>
        <v>1</v>
      </c>
      <c r="AF284" s="279" t="b">
        <f t="shared" si="223"/>
        <v>1</v>
      </c>
      <c r="AG284" s="279" t="b">
        <f t="shared" si="223"/>
        <v>1</v>
      </c>
      <c r="AH284" s="279" t="b">
        <f t="shared" si="223"/>
        <v>1</v>
      </c>
      <c r="AI284" s="279" t="b">
        <f t="shared" si="223"/>
        <v>1</v>
      </c>
      <c r="AJ284" s="279" t="b">
        <f t="shared" si="223"/>
        <v>1</v>
      </c>
      <c r="AK284" s="279" t="b">
        <f t="shared" si="223"/>
        <v>1</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25">
      <c r="A285" s="275" t="s">
        <v>3</v>
      </c>
      <c r="C285" s="275">
        <v>72</v>
      </c>
      <c r="F285" s="279" t="b">
        <f t="shared" ref="F285:L285" si="249">AND($BG81=FALSE,AND(F183&lt;&gt;"",F183=FALSE),F81="")</f>
        <v>1</v>
      </c>
      <c r="G285" s="279" t="b">
        <f t="shared" si="249"/>
        <v>0</v>
      </c>
      <c r="H285" s="279" t="b">
        <f t="shared" si="249"/>
        <v>1</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1</v>
      </c>
      <c r="Q285" s="279" t="b">
        <f t="shared" si="223"/>
        <v>1</v>
      </c>
      <c r="AB285" s="279" t="b">
        <f t="shared" si="223"/>
        <v>1</v>
      </c>
      <c r="AC285" s="279" t="b">
        <f t="shared" si="223"/>
        <v>1</v>
      </c>
      <c r="AD285" s="279" t="b">
        <f t="shared" si="223"/>
        <v>1</v>
      </c>
      <c r="AE285" s="279" t="b">
        <f t="shared" si="223"/>
        <v>1</v>
      </c>
      <c r="AF285" s="279" t="b">
        <f t="shared" si="223"/>
        <v>1</v>
      </c>
      <c r="AG285" s="279" t="b">
        <f t="shared" si="223"/>
        <v>1</v>
      </c>
      <c r="AH285" s="279" t="b">
        <f t="shared" si="223"/>
        <v>1</v>
      </c>
      <c r="AI285" s="279" t="b">
        <f t="shared" ref="AI285:AP285" si="251">AND($BG81=FALSE,AND(AI183&lt;&gt;"",AI183=FALSE),AI81="")</f>
        <v>1</v>
      </c>
      <c r="AJ285" s="279" t="b">
        <f t="shared" si="251"/>
        <v>1</v>
      </c>
      <c r="AK285" s="279" t="b">
        <f t="shared" si="251"/>
        <v>1</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25">
      <c r="A286" s="275" t="s">
        <v>3</v>
      </c>
      <c r="C286" s="275">
        <v>73</v>
      </c>
      <c r="F286" s="279" t="b">
        <f t="shared" ref="F286:L286" si="253">AND($BG82=FALSE,AND(F184&lt;&gt;"",F184=FALSE),F82="")</f>
        <v>1</v>
      </c>
      <c r="G286" s="279" t="b">
        <f t="shared" si="253"/>
        <v>0</v>
      </c>
      <c r="H286" s="279" t="b">
        <f t="shared" si="253"/>
        <v>1</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1</v>
      </c>
      <c r="Q286" s="279" t="b">
        <f t="shared" si="254"/>
        <v>1</v>
      </c>
      <c r="AB286" s="279" t="b">
        <f t="shared" si="254"/>
        <v>1</v>
      </c>
      <c r="AC286" s="279" t="b">
        <f t="shared" si="254"/>
        <v>1</v>
      </c>
      <c r="AD286" s="279" t="b">
        <f t="shared" si="254"/>
        <v>1</v>
      </c>
      <c r="AE286" s="279" t="b">
        <f t="shared" si="254"/>
        <v>1</v>
      </c>
      <c r="AF286" s="279" t="b">
        <f t="shared" si="254"/>
        <v>1</v>
      </c>
      <c r="AG286" s="279" t="b">
        <f t="shared" si="254"/>
        <v>1</v>
      </c>
      <c r="AH286" s="279" t="b">
        <f t="shared" si="254"/>
        <v>1</v>
      </c>
      <c r="AI286" s="279" t="b">
        <f t="shared" si="254"/>
        <v>1</v>
      </c>
      <c r="AJ286" s="279" t="b">
        <f t="shared" si="254"/>
        <v>1</v>
      </c>
      <c r="AK286" s="279" t="b">
        <f t="shared" si="254"/>
        <v>1</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25">
      <c r="A287" s="275" t="s">
        <v>3</v>
      </c>
      <c r="C287" s="275">
        <v>74</v>
      </c>
      <c r="F287" s="279" t="b">
        <f t="shared" ref="F287:L287" si="256">AND($BG83=FALSE,AND(F185&lt;&gt;"",F185=FALSE),F83="")</f>
        <v>1</v>
      </c>
      <c r="G287" s="279" t="b">
        <f t="shared" si="256"/>
        <v>0</v>
      </c>
      <c r="H287" s="279" t="b">
        <f t="shared" si="256"/>
        <v>1</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1</v>
      </c>
      <c r="Q287" s="279" t="b">
        <f t="shared" si="254"/>
        <v>1</v>
      </c>
      <c r="AB287" s="279" t="b">
        <f t="shared" si="254"/>
        <v>1</v>
      </c>
      <c r="AC287" s="279" t="b">
        <f t="shared" si="254"/>
        <v>1</v>
      </c>
      <c r="AD287" s="279" t="b">
        <f t="shared" si="254"/>
        <v>1</v>
      </c>
      <c r="AE287" s="279" t="b">
        <f t="shared" si="254"/>
        <v>1</v>
      </c>
      <c r="AF287" s="279" t="b">
        <f t="shared" si="254"/>
        <v>1</v>
      </c>
      <c r="AG287" s="279" t="b">
        <f t="shared" si="254"/>
        <v>1</v>
      </c>
      <c r="AH287" s="279" t="b">
        <f t="shared" si="254"/>
        <v>1</v>
      </c>
      <c r="AI287" s="279" t="b">
        <f t="shared" si="254"/>
        <v>1</v>
      </c>
      <c r="AJ287" s="279" t="b">
        <f t="shared" si="254"/>
        <v>1</v>
      </c>
      <c r="AK287" s="279" t="b">
        <f t="shared" si="254"/>
        <v>1</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25">
      <c r="A288" s="275" t="s">
        <v>3</v>
      </c>
      <c r="C288" s="275">
        <v>75</v>
      </c>
      <c r="F288" s="279" t="b">
        <f t="shared" ref="F288:L288" si="259">AND($BG84=FALSE,AND(F186&lt;&gt;"",F186=FALSE),F84="")</f>
        <v>1</v>
      </c>
      <c r="G288" s="279" t="b">
        <f t="shared" si="259"/>
        <v>0</v>
      </c>
      <c r="H288" s="279" t="b">
        <f t="shared" si="259"/>
        <v>1</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1</v>
      </c>
      <c r="Q288" s="279" t="b">
        <f t="shared" si="254"/>
        <v>1</v>
      </c>
      <c r="AB288" s="279" t="b">
        <f t="shared" si="254"/>
        <v>1</v>
      </c>
      <c r="AC288" s="279" t="b">
        <f t="shared" si="254"/>
        <v>1</v>
      </c>
      <c r="AD288" s="279" t="b">
        <f t="shared" si="254"/>
        <v>1</v>
      </c>
      <c r="AE288" s="279" t="b">
        <f t="shared" si="254"/>
        <v>1</v>
      </c>
      <c r="AF288" s="279" t="b">
        <f t="shared" si="254"/>
        <v>1</v>
      </c>
      <c r="AG288" s="279" t="b">
        <f t="shared" si="254"/>
        <v>1</v>
      </c>
      <c r="AH288" s="279" t="b">
        <f t="shared" si="254"/>
        <v>1</v>
      </c>
      <c r="AI288" s="279" t="b">
        <f t="shared" si="254"/>
        <v>1</v>
      </c>
      <c r="AJ288" s="279" t="b">
        <f t="shared" si="254"/>
        <v>1</v>
      </c>
      <c r="AK288" s="279" t="b">
        <f t="shared" si="254"/>
        <v>1</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25">
      <c r="A289" s="275" t="s">
        <v>3</v>
      </c>
      <c r="C289" s="275">
        <v>76</v>
      </c>
      <c r="F289" s="279" t="b">
        <f t="shared" ref="F289:L289" si="262">AND($BG85=FALSE,AND(F187&lt;&gt;"",F187=FALSE),F85="")</f>
        <v>1</v>
      </c>
      <c r="G289" s="279" t="b">
        <f t="shared" si="262"/>
        <v>0</v>
      </c>
      <c r="H289" s="279" t="b">
        <f t="shared" si="262"/>
        <v>1</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1</v>
      </c>
      <c r="Q289" s="279" t="b">
        <f t="shared" si="254"/>
        <v>1</v>
      </c>
      <c r="AB289" s="279" t="b">
        <f t="shared" si="254"/>
        <v>1</v>
      </c>
      <c r="AC289" s="279" t="b">
        <f t="shared" si="254"/>
        <v>1</v>
      </c>
      <c r="AD289" s="279" t="b">
        <f t="shared" si="254"/>
        <v>1</v>
      </c>
      <c r="AE289" s="279" t="b">
        <f t="shared" si="254"/>
        <v>1</v>
      </c>
      <c r="AF289" s="279" t="b">
        <f t="shared" si="254"/>
        <v>1</v>
      </c>
      <c r="AG289" s="279" t="b">
        <f t="shared" si="254"/>
        <v>1</v>
      </c>
      <c r="AH289" s="279" t="b">
        <f t="shared" si="254"/>
        <v>1</v>
      </c>
      <c r="AI289" s="279" t="b">
        <f t="shared" si="254"/>
        <v>1</v>
      </c>
      <c r="AJ289" s="279" t="b">
        <f t="shared" si="254"/>
        <v>1</v>
      </c>
      <c r="AK289" s="279" t="b">
        <f t="shared" si="254"/>
        <v>1</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25">
      <c r="A290" s="275" t="s">
        <v>3</v>
      </c>
      <c r="C290" s="275">
        <v>77</v>
      </c>
      <c r="F290" s="279" t="b">
        <f t="shared" ref="F290:L290" si="265">AND($BG86=FALSE,AND(F188&lt;&gt;"",F188=FALSE),F86="")</f>
        <v>1</v>
      </c>
      <c r="G290" s="279" t="b">
        <f t="shared" si="265"/>
        <v>0</v>
      </c>
      <c r="H290" s="279" t="b">
        <f t="shared" si="265"/>
        <v>1</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1</v>
      </c>
      <c r="Q290" s="279" t="b">
        <f t="shared" si="254"/>
        <v>1</v>
      </c>
      <c r="AB290" s="279" t="b">
        <f t="shared" si="254"/>
        <v>1</v>
      </c>
      <c r="AC290" s="279" t="b">
        <f t="shared" si="254"/>
        <v>1</v>
      </c>
      <c r="AD290" s="279" t="b">
        <f t="shared" si="254"/>
        <v>1</v>
      </c>
      <c r="AE290" s="279" t="b">
        <f t="shared" si="254"/>
        <v>1</v>
      </c>
      <c r="AF290" s="279" t="b">
        <f t="shared" si="254"/>
        <v>1</v>
      </c>
      <c r="AG290" s="279" t="b">
        <f t="shared" si="254"/>
        <v>1</v>
      </c>
      <c r="AH290" s="279" t="b">
        <f t="shared" si="254"/>
        <v>1</v>
      </c>
      <c r="AI290" s="279" t="b">
        <f t="shared" si="254"/>
        <v>1</v>
      </c>
      <c r="AJ290" s="279" t="b">
        <f t="shared" si="254"/>
        <v>1</v>
      </c>
      <c r="AK290" s="279" t="b">
        <f t="shared" si="254"/>
        <v>1</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25">
      <c r="A291" s="275" t="s">
        <v>3</v>
      </c>
      <c r="C291" s="275">
        <v>78</v>
      </c>
      <c r="F291" s="279" t="b">
        <f t="shared" ref="F291:L291" si="268">AND($BG87=FALSE,AND(F189&lt;&gt;"",F189=FALSE),F87="")</f>
        <v>1</v>
      </c>
      <c r="G291" s="279" t="b">
        <f t="shared" si="268"/>
        <v>0</v>
      </c>
      <c r="H291" s="279" t="b">
        <f t="shared" si="268"/>
        <v>1</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1</v>
      </c>
      <c r="Q291" s="279" t="b">
        <f t="shared" si="254"/>
        <v>1</v>
      </c>
      <c r="AB291" s="279" t="b">
        <f t="shared" si="254"/>
        <v>1</v>
      </c>
      <c r="AC291" s="279" t="b">
        <f t="shared" si="254"/>
        <v>1</v>
      </c>
      <c r="AD291" s="279" t="b">
        <f t="shared" si="254"/>
        <v>1</v>
      </c>
      <c r="AE291" s="279" t="b">
        <f t="shared" si="254"/>
        <v>1</v>
      </c>
      <c r="AF291" s="279" t="b">
        <f t="shared" si="254"/>
        <v>1</v>
      </c>
      <c r="AG291" s="279" t="b">
        <f t="shared" si="254"/>
        <v>1</v>
      </c>
      <c r="AH291" s="279" t="b">
        <f t="shared" si="254"/>
        <v>1</v>
      </c>
      <c r="AI291" s="279" t="b">
        <f t="shared" si="254"/>
        <v>1</v>
      </c>
      <c r="AJ291" s="279" t="b">
        <f t="shared" si="254"/>
        <v>1</v>
      </c>
      <c r="AK291" s="279" t="b">
        <f t="shared" si="254"/>
        <v>1</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25">
      <c r="A292" s="275" t="s">
        <v>3</v>
      </c>
      <c r="C292" s="275">
        <v>79</v>
      </c>
      <c r="F292" s="279" t="b">
        <f t="shared" ref="F292:L292" si="271">AND($BG88=FALSE,AND(F190&lt;&gt;"",F190=FALSE),F88="")</f>
        <v>1</v>
      </c>
      <c r="G292" s="279" t="b">
        <f t="shared" si="271"/>
        <v>0</v>
      </c>
      <c r="H292" s="279" t="b">
        <f t="shared" si="271"/>
        <v>1</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1</v>
      </c>
      <c r="Q292" s="279" t="b">
        <f t="shared" si="254"/>
        <v>1</v>
      </c>
      <c r="AB292" s="279" t="b">
        <f t="shared" si="254"/>
        <v>1</v>
      </c>
      <c r="AC292" s="279" t="b">
        <f t="shared" si="254"/>
        <v>1</v>
      </c>
      <c r="AD292" s="279" t="b">
        <f t="shared" si="254"/>
        <v>1</v>
      </c>
      <c r="AE292" s="279" t="b">
        <f t="shared" si="254"/>
        <v>1</v>
      </c>
      <c r="AF292" s="279" t="b">
        <f t="shared" si="254"/>
        <v>1</v>
      </c>
      <c r="AG292" s="279" t="b">
        <f t="shared" si="254"/>
        <v>1</v>
      </c>
      <c r="AH292" s="279" t="b">
        <f t="shared" si="254"/>
        <v>1</v>
      </c>
      <c r="AI292" s="279" t="b">
        <f t="shared" si="254"/>
        <v>1</v>
      </c>
      <c r="AJ292" s="279" t="b">
        <f t="shared" si="254"/>
        <v>1</v>
      </c>
      <c r="AK292" s="279" t="b">
        <f t="shared" si="254"/>
        <v>1</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25">
      <c r="A293" s="275" t="s">
        <v>3</v>
      </c>
      <c r="C293" s="275">
        <v>80</v>
      </c>
      <c r="F293" s="279" t="b">
        <f t="shared" ref="F293:L293" si="274">AND($BG89=FALSE,AND(F191&lt;&gt;"",F191=FALSE),F89="")</f>
        <v>1</v>
      </c>
      <c r="G293" s="279" t="b">
        <f t="shared" si="274"/>
        <v>0</v>
      </c>
      <c r="H293" s="279" t="b">
        <f t="shared" si="274"/>
        <v>1</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1</v>
      </c>
      <c r="Q293" s="279" t="b">
        <f t="shared" si="254"/>
        <v>1</v>
      </c>
      <c r="AB293" s="279" t="b">
        <f t="shared" si="254"/>
        <v>1</v>
      </c>
      <c r="AC293" s="279" t="b">
        <f t="shared" si="254"/>
        <v>1</v>
      </c>
      <c r="AD293" s="279" t="b">
        <f t="shared" si="254"/>
        <v>1</v>
      </c>
      <c r="AE293" s="279" t="b">
        <f t="shared" si="254"/>
        <v>1</v>
      </c>
      <c r="AF293" s="279" t="b">
        <f t="shared" si="254"/>
        <v>1</v>
      </c>
      <c r="AG293" s="279" t="b">
        <f t="shared" si="254"/>
        <v>1</v>
      </c>
      <c r="AH293" s="279" t="b">
        <f t="shared" si="254"/>
        <v>1</v>
      </c>
      <c r="AI293" s="279" t="b">
        <f t="shared" si="254"/>
        <v>1</v>
      </c>
      <c r="AJ293" s="279" t="b">
        <f t="shared" si="254"/>
        <v>1</v>
      </c>
      <c r="AK293" s="279" t="b">
        <f t="shared" si="254"/>
        <v>1</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25">
      <c r="A294" s="275" t="s">
        <v>3</v>
      </c>
      <c r="C294" s="275">
        <v>81</v>
      </c>
      <c r="F294" s="279" t="b">
        <f t="shared" ref="F294:L294" si="277">AND($BG90=FALSE,AND(F192&lt;&gt;"",F192=FALSE),F90="")</f>
        <v>1</v>
      </c>
      <c r="G294" s="279" t="b">
        <f t="shared" si="277"/>
        <v>0</v>
      </c>
      <c r="H294" s="279" t="b">
        <f t="shared" si="277"/>
        <v>1</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1</v>
      </c>
      <c r="Q294" s="279" t="b">
        <f t="shared" si="254"/>
        <v>1</v>
      </c>
      <c r="AB294" s="279" t="b">
        <f t="shared" si="254"/>
        <v>1</v>
      </c>
      <c r="AC294" s="279" t="b">
        <f t="shared" si="254"/>
        <v>1</v>
      </c>
      <c r="AD294" s="279" t="b">
        <f t="shared" si="254"/>
        <v>1</v>
      </c>
      <c r="AE294" s="279" t="b">
        <f t="shared" si="254"/>
        <v>1</v>
      </c>
      <c r="AF294" s="279" t="b">
        <f t="shared" si="254"/>
        <v>1</v>
      </c>
      <c r="AG294" s="279" t="b">
        <f t="shared" si="254"/>
        <v>1</v>
      </c>
      <c r="AH294" s="279" t="b">
        <f t="shared" si="254"/>
        <v>1</v>
      </c>
      <c r="AI294" s="279" t="b">
        <f t="shared" si="254"/>
        <v>1</v>
      </c>
      <c r="AJ294" s="279" t="b">
        <f t="shared" si="254"/>
        <v>1</v>
      </c>
      <c r="AK294" s="279" t="b">
        <f t="shared" si="254"/>
        <v>1</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25">
      <c r="A295" s="275" t="s">
        <v>3</v>
      </c>
      <c r="C295" s="275">
        <v>82</v>
      </c>
      <c r="F295" s="279" t="b">
        <f t="shared" ref="F295:L295" si="280">AND($BG91=FALSE,AND(F193&lt;&gt;"",F193=FALSE),F91="")</f>
        <v>1</v>
      </c>
      <c r="G295" s="279" t="b">
        <f t="shared" si="280"/>
        <v>0</v>
      </c>
      <c r="H295" s="279" t="b">
        <f t="shared" si="280"/>
        <v>1</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1</v>
      </c>
      <c r="Q295" s="279" t="b">
        <f t="shared" si="254"/>
        <v>1</v>
      </c>
      <c r="AB295" s="279" t="b">
        <f t="shared" si="254"/>
        <v>1</v>
      </c>
      <c r="AC295" s="279" t="b">
        <f t="shared" si="254"/>
        <v>1</v>
      </c>
      <c r="AD295" s="279" t="b">
        <f t="shared" si="254"/>
        <v>1</v>
      </c>
      <c r="AE295" s="279" t="b">
        <f t="shared" si="254"/>
        <v>1</v>
      </c>
      <c r="AF295" s="279" t="b">
        <f t="shared" si="254"/>
        <v>1</v>
      </c>
      <c r="AG295" s="279" t="b">
        <f t="shared" si="254"/>
        <v>1</v>
      </c>
      <c r="AH295" s="279" t="b">
        <f t="shared" si="254"/>
        <v>1</v>
      </c>
      <c r="AI295" s="279" t="b">
        <f t="shared" ref="AI295:AP295" si="282">AND($BG91=FALSE,AND(AI193&lt;&gt;"",AI193=FALSE),AI91="")</f>
        <v>1</v>
      </c>
      <c r="AJ295" s="279" t="b">
        <f t="shared" si="282"/>
        <v>1</v>
      </c>
      <c r="AK295" s="279" t="b">
        <f t="shared" si="282"/>
        <v>1</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25">
      <c r="A296" s="275" t="s">
        <v>3</v>
      </c>
      <c r="C296" s="275">
        <v>83</v>
      </c>
      <c r="F296" s="279" t="b">
        <f t="shared" ref="F296:L296" si="284">AND($BG92=FALSE,AND(F194&lt;&gt;"",F194=FALSE),F92="")</f>
        <v>1</v>
      </c>
      <c r="G296" s="279" t="b">
        <f t="shared" si="284"/>
        <v>0</v>
      </c>
      <c r="H296" s="279" t="b">
        <f t="shared" si="284"/>
        <v>1</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1</v>
      </c>
      <c r="Q296" s="279" t="b">
        <f t="shared" si="285"/>
        <v>1</v>
      </c>
      <c r="AB296" s="279" t="b">
        <f t="shared" si="285"/>
        <v>1</v>
      </c>
      <c r="AC296" s="279" t="b">
        <f t="shared" si="285"/>
        <v>1</v>
      </c>
      <c r="AD296" s="279" t="b">
        <f t="shared" si="285"/>
        <v>1</v>
      </c>
      <c r="AE296" s="279" t="b">
        <f t="shared" si="285"/>
        <v>1</v>
      </c>
      <c r="AF296" s="279" t="b">
        <f t="shared" si="285"/>
        <v>1</v>
      </c>
      <c r="AG296" s="279" t="b">
        <f t="shared" si="285"/>
        <v>1</v>
      </c>
      <c r="AH296" s="279" t="b">
        <f t="shared" si="285"/>
        <v>1</v>
      </c>
      <c r="AI296" s="279" t="b">
        <f t="shared" si="285"/>
        <v>1</v>
      </c>
      <c r="AJ296" s="279" t="b">
        <f t="shared" si="285"/>
        <v>1</v>
      </c>
      <c r="AK296" s="279" t="b">
        <f t="shared" si="285"/>
        <v>1</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25">
      <c r="A297" s="275" t="s">
        <v>3</v>
      </c>
      <c r="C297" s="275">
        <v>84</v>
      </c>
      <c r="F297" s="279" t="b">
        <f t="shared" ref="F297:L297" si="287">AND($BG93=FALSE,AND(F195&lt;&gt;"",F195=FALSE),F93="")</f>
        <v>1</v>
      </c>
      <c r="G297" s="279" t="b">
        <f t="shared" si="287"/>
        <v>0</v>
      </c>
      <c r="H297" s="279" t="b">
        <f t="shared" si="287"/>
        <v>1</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1</v>
      </c>
      <c r="Q297" s="279" t="b">
        <f t="shared" si="285"/>
        <v>1</v>
      </c>
      <c r="AB297" s="279" t="b">
        <f t="shared" si="285"/>
        <v>1</v>
      </c>
      <c r="AC297" s="279" t="b">
        <f t="shared" si="285"/>
        <v>1</v>
      </c>
      <c r="AD297" s="279" t="b">
        <f t="shared" si="285"/>
        <v>1</v>
      </c>
      <c r="AE297" s="279" t="b">
        <f t="shared" si="285"/>
        <v>1</v>
      </c>
      <c r="AF297" s="279" t="b">
        <f t="shared" si="285"/>
        <v>1</v>
      </c>
      <c r="AG297" s="279" t="b">
        <f t="shared" si="285"/>
        <v>1</v>
      </c>
      <c r="AH297" s="279" t="b">
        <f t="shared" si="285"/>
        <v>1</v>
      </c>
      <c r="AI297" s="279" t="b">
        <f t="shared" si="285"/>
        <v>1</v>
      </c>
      <c r="AJ297" s="279" t="b">
        <f t="shared" si="285"/>
        <v>1</v>
      </c>
      <c r="AK297" s="279" t="b">
        <f t="shared" si="285"/>
        <v>1</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25">
      <c r="A298" s="275" t="s">
        <v>3</v>
      </c>
      <c r="C298" s="275">
        <v>85</v>
      </c>
      <c r="F298" s="279" t="b">
        <f t="shared" ref="F298:L298" si="290">AND($BG94=FALSE,AND(F196&lt;&gt;"",F196=FALSE),F94="")</f>
        <v>1</v>
      </c>
      <c r="G298" s="279" t="b">
        <f t="shared" si="290"/>
        <v>0</v>
      </c>
      <c r="H298" s="279" t="b">
        <f t="shared" si="290"/>
        <v>1</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1</v>
      </c>
      <c r="Q298" s="279" t="b">
        <f t="shared" si="285"/>
        <v>1</v>
      </c>
      <c r="AB298" s="279" t="b">
        <f t="shared" si="285"/>
        <v>1</v>
      </c>
      <c r="AC298" s="279" t="b">
        <f t="shared" si="285"/>
        <v>1</v>
      </c>
      <c r="AD298" s="279" t="b">
        <f t="shared" si="285"/>
        <v>1</v>
      </c>
      <c r="AE298" s="279" t="b">
        <f t="shared" si="285"/>
        <v>1</v>
      </c>
      <c r="AF298" s="279" t="b">
        <f t="shared" si="285"/>
        <v>1</v>
      </c>
      <c r="AG298" s="279" t="b">
        <f t="shared" si="285"/>
        <v>1</v>
      </c>
      <c r="AH298" s="279" t="b">
        <f t="shared" si="285"/>
        <v>1</v>
      </c>
      <c r="AI298" s="279" t="b">
        <f t="shared" si="285"/>
        <v>1</v>
      </c>
      <c r="AJ298" s="279" t="b">
        <f t="shared" si="285"/>
        <v>1</v>
      </c>
      <c r="AK298" s="279" t="b">
        <f t="shared" si="285"/>
        <v>1</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25">
      <c r="A299" s="275" t="s">
        <v>3</v>
      </c>
      <c r="C299" s="275">
        <v>86</v>
      </c>
      <c r="F299" s="279" t="b">
        <f t="shared" ref="F299:L299" si="293">AND($BG95=FALSE,AND(F197&lt;&gt;"",F197=FALSE),F95="")</f>
        <v>1</v>
      </c>
      <c r="G299" s="279" t="b">
        <f t="shared" si="293"/>
        <v>0</v>
      </c>
      <c r="H299" s="279" t="b">
        <f t="shared" si="293"/>
        <v>1</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1</v>
      </c>
      <c r="Q299" s="279" t="b">
        <f t="shared" si="285"/>
        <v>1</v>
      </c>
      <c r="AB299" s="279" t="b">
        <f t="shared" si="285"/>
        <v>1</v>
      </c>
      <c r="AC299" s="279" t="b">
        <f t="shared" si="285"/>
        <v>1</v>
      </c>
      <c r="AD299" s="279" t="b">
        <f t="shared" si="285"/>
        <v>1</v>
      </c>
      <c r="AE299" s="279" t="b">
        <f t="shared" si="285"/>
        <v>1</v>
      </c>
      <c r="AF299" s="279" t="b">
        <f t="shared" si="285"/>
        <v>1</v>
      </c>
      <c r="AG299" s="279" t="b">
        <f t="shared" si="285"/>
        <v>1</v>
      </c>
      <c r="AH299" s="279" t="b">
        <f t="shared" si="285"/>
        <v>1</v>
      </c>
      <c r="AI299" s="279" t="b">
        <f t="shared" si="285"/>
        <v>1</v>
      </c>
      <c r="AJ299" s="279" t="b">
        <f t="shared" si="285"/>
        <v>1</v>
      </c>
      <c r="AK299" s="279" t="b">
        <f t="shared" si="285"/>
        <v>1</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25">
      <c r="A300" s="275" t="s">
        <v>3</v>
      </c>
      <c r="C300" s="275">
        <v>87</v>
      </c>
      <c r="F300" s="279" t="b">
        <f t="shared" ref="F300:L300" si="296">AND($BG96=FALSE,AND(F198&lt;&gt;"",F198=FALSE),F96="")</f>
        <v>1</v>
      </c>
      <c r="G300" s="279" t="b">
        <f t="shared" si="296"/>
        <v>0</v>
      </c>
      <c r="H300" s="279" t="b">
        <f t="shared" si="296"/>
        <v>1</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1</v>
      </c>
      <c r="Q300" s="279" t="b">
        <f t="shared" si="285"/>
        <v>1</v>
      </c>
      <c r="AB300" s="279" t="b">
        <f t="shared" si="285"/>
        <v>1</v>
      </c>
      <c r="AC300" s="279" t="b">
        <f t="shared" si="285"/>
        <v>1</v>
      </c>
      <c r="AD300" s="279" t="b">
        <f t="shared" si="285"/>
        <v>1</v>
      </c>
      <c r="AE300" s="279" t="b">
        <f t="shared" si="285"/>
        <v>1</v>
      </c>
      <c r="AF300" s="279" t="b">
        <f t="shared" si="285"/>
        <v>1</v>
      </c>
      <c r="AG300" s="279" t="b">
        <f t="shared" si="285"/>
        <v>1</v>
      </c>
      <c r="AH300" s="279" t="b">
        <f t="shared" si="285"/>
        <v>1</v>
      </c>
      <c r="AI300" s="279" t="b">
        <f t="shared" si="285"/>
        <v>1</v>
      </c>
      <c r="AJ300" s="279" t="b">
        <f t="shared" si="285"/>
        <v>1</v>
      </c>
      <c r="AK300" s="279" t="b">
        <f t="shared" si="285"/>
        <v>1</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25">
      <c r="A301" s="275" t="s">
        <v>3</v>
      </c>
      <c r="C301" s="275">
        <v>88</v>
      </c>
      <c r="F301" s="279" t="b">
        <f t="shared" ref="F301:L301" si="299">AND($BG97=FALSE,AND(F199&lt;&gt;"",F199=FALSE),F97="")</f>
        <v>1</v>
      </c>
      <c r="G301" s="279" t="b">
        <f t="shared" si="299"/>
        <v>0</v>
      </c>
      <c r="H301" s="279" t="b">
        <f t="shared" si="299"/>
        <v>1</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1</v>
      </c>
      <c r="Q301" s="279" t="b">
        <f t="shared" si="285"/>
        <v>1</v>
      </c>
      <c r="AB301" s="279" t="b">
        <f t="shared" si="285"/>
        <v>1</v>
      </c>
      <c r="AC301" s="279" t="b">
        <f t="shared" si="285"/>
        <v>1</v>
      </c>
      <c r="AD301" s="279" t="b">
        <f t="shared" si="285"/>
        <v>1</v>
      </c>
      <c r="AE301" s="279" t="b">
        <f t="shared" si="285"/>
        <v>1</v>
      </c>
      <c r="AF301" s="279" t="b">
        <f t="shared" si="285"/>
        <v>1</v>
      </c>
      <c r="AG301" s="279" t="b">
        <f t="shared" si="285"/>
        <v>1</v>
      </c>
      <c r="AH301" s="279" t="b">
        <f t="shared" si="285"/>
        <v>1</v>
      </c>
      <c r="AI301" s="279" t="b">
        <f t="shared" si="285"/>
        <v>1</v>
      </c>
      <c r="AJ301" s="279" t="b">
        <f t="shared" si="285"/>
        <v>1</v>
      </c>
      <c r="AK301" s="279" t="b">
        <f t="shared" si="285"/>
        <v>1</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25">
      <c r="A302" s="275" t="s">
        <v>3</v>
      </c>
      <c r="C302" s="275">
        <v>89</v>
      </c>
      <c r="F302" s="279" t="b">
        <f t="shared" ref="F302:L302" si="302">AND($BG98=FALSE,AND(F200&lt;&gt;"",F200=FALSE),F98="")</f>
        <v>1</v>
      </c>
      <c r="G302" s="279" t="b">
        <f t="shared" si="302"/>
        <v>0</v>
      </c>
      <c r="H302" s="279" t="b">
        <f t="shared" si="302"/>
        <v>1</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1</v>
      </c>
      <c r="Q302" s="279" t="b">
        <f t="shared" si="285"/>
        <v>1</v>
      </c>
      <c r="AB302" s="279" t="b">
        <f t="shared" si="285"/>
        <v>1</v>
      </c>
      <c r="AC302" s="279" t="b">
        <f t="shared" si="285"/>
        <v>1</v>
      </c>
      <c r="AD302" s="279" t="b">
        <f t="shared" si="285"/>
        <v>1</v>
      </c>
      <c r="AE302" s="279" t="b">
        <f t="shared" si="285"/>
        <v>1</v>
      </c>
      <c r="AF302" s="279" t="b">
        <f t="shared" si="285"/>
        <v>1</v>
      </c>
      <c r="AG302" s="279" t="b">
        <f t="shared" si="285"/>
        <v>1</v>
      </c>
      <c r="AH302" s="279" t="b">
        <f t="shared" si="285"/>
        <v>1</v>
      </c>
      <c r="AI302" s="279" t="b">
        <f t="shared" si="285"/>
        <v>1</v>
      </c>
      <c r="AJ302" s="279" t="b">
        <f t="shared" si="285"/>
        <v>1</v>
      </c>
      <c r="AK302" s="279" t="b">
        <f t="shared" si="285"/>
        <v>1</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25">
      <c r="A303" s="275" t="s">
        <v>3</v>
      </c>
      <c r="C303" s="275">
        <v>90</v>
      </c>
      <c r="F303" s="279" t="b">
        <f t="shared" ref="F303:L303" si="305">AND($BG99=FALSE,AND(F201&lt;&gt;"",F201=FALSE),F99="")</f>
        <v>1</v>
      </c>
      <c r="G303" s="279" t="b">
        <f t="shared" si="305"/>
        <v>0</v>
      </c>
      <c r="H303" s="279" t="b">
        <f t="shared" si="305"/>
        <v>1</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1</v>
      </c>
      <c r="Q303" s="279" t="b">
        <f t="shared" si="285"/>
        <v>1</v>
      </c>
      <c r="AB303" s="279" t="b">
        <f t="shared" si="285"/>
        <v>1</v>
      </c>
      <c r="AC303" s="279" t="b">
        <f t="shared" si="285"/>
        <v>1</v>
      </c>
      <c r="AD303" s="279" t="b">
        <f t="shared" si="285"/>
        <v>1</v>
      </c>
      <c r="AE303" s="279" t="b">
        <f t="shared" si="285"/>
        <v>1</v>
      </c>
      <c r="AF303" s="279" t="b">
        <f t="shared" si="285"/>
        <v>1</v>
      </c>
      <c r="AG303" s="279" t="b">
        <f t="shared" si="285"/>
        <v>1</v>
      </c>
      <c r="AH303" s="279" t="b">
        <f t="shared" si="285"/>
        <v>1</v>
      </c>
      <c r="AI303" s="279" t="b">
        <f t="shared" si="285"/>
        <v>1</v>
      </c>
      <c r="AJ303" s="279" t="b">
        <f t="shared" si="285"/>
        <v>1</v>
      </c>
      <c r="AK303" s="279" t="b">
        <f t="shared" si="285"/>
        <v>1</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25">
      <c r="A304" s="275" t="s">
        <v>3</v>
      </c>
      <c r="C304" s="275">
        <v>91</v>
      </c>
      <c r="F304" s="279" t="b">
        <f t="shared" ref="F304:L304" si="308">AND($BG100=FALSE,AND(F202&lt;&gt;"",F202=FALSE),F100="")</f>
        <v>1</v>
      </c>
      <c r="G304" s="279" t="b">
        <f t="shared" si="308"/>
        <v>0</v>
      </c>
      <c r="H304" s="279" t="b">
        <f t="shared" si="308"/>
        <v>1</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1</v>
      </c>
      <c r="Q304" s="279" t="b">
        <f t="shared" si="285"/>
        <v>1</v>
      </c>
      <c r="AB304" s="279" t="b">
        <f t="shared" si="285"/>
        <v>1</v>
      </c>
      <c r="AC304" s="279" t="b">
        <f t="shared" si="285"/>
        <v>1</v>
      </c>
      <c r="AD304" s="279" t="b">
        <f t="shared" si="285"/>
        <v>1</v>
      </c>
      <c r="AE304" s="279" t="b">
        <f t="shared" si="285"/>
        <v>1</v>
      </c>
      <c r="AF304" s="279" t="b">
        <f t="shared" si="285"/>
        <v>1</v>
      </c>
      <c r="AG304" s="279" t="b">
        <f t="shared" si="285"/>
        <v>1</v>
      </c>
      <c r="AH304" s="279" t="b">
        <f t="shared" si="285"/>
        <v>1</v>
      </c>
      <c r="AI304" s="279" t="b">
        <f t="shared" si="285"/>
        <v>1</v>
      </c>
      <c r="AJ304" s="279" t="b">
        <f t="shared" si="285"/>
        <v>1</v>
      </c>
      <c r="AK304" s="279" t="b">
        <f t="shared" si="285"/>
        <v>1</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25">
      <c r="A305" s="275" t="s">
        <v>3</v>
      </c>
      <c r="C305" s="275">
        <v>92</v>
      </c>
      <c r="F305" s="279" t="b">
        <f t="shared" ref="F305:L305" si="311">AND($BG101=FALSE,AND(F203&lt;&gt;"",F203=FALSE),F101="")</f>
        <v>1</v>
      </c>
      <c r="G305" s="279" t="b">
        <f t="shared" si="311"/>
        <v>0</v>
      </c>
      <c r="H305" s="279" t="b">
        <f t="shared" si="311"/>
        <v>1</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1</v>
      </c>
      <c r="Q305" s="279" t="b">
        <f t="shared" si="285"/>
        <v>1</v>
      </c>
      <c r="AB305" s="279" t="b">
        <f t="shared" si="285"/>
        <v>1</v>
      </c>
      <c r="AC305" s="279" t="b">
        <f t="shared" si="285"/>
        <v>1</v>
      </c>
      <c r="AD305" s="279" t="b">
        <f t="shared" si="285"/>
        <v>1</v>
      </c>
      <c r="AE305" s="279" t="b">
        <f t="shared" si="285"/>
        <v>1</v>
      </c>
      <c r="AF305" s="279" t="b">
        <f t="shared" si="285"/>
        <v>1</v>
      </c>
      <c r="AG305" s="279" t="b">
        <f t="shared" si="285"/>
        <v>1</v>
      </c>
      <c r="AH305" s="279" t="b">
        <f t="shared" si="285"/>
        <v>1</v>
      </c>
      <c r="AI305" s="279" t="b">
        <f t="shared" ref="AI305:AP305" si="313">AND($BG101=FALSE,AND(AI203&lt;&gt;"",AI203=FALSE),AI101="")</f>
        <v>1</v>
      </c>
      <c r="AJ305" s="279" t="b">
        <f t="shared" si="313"/>
        <v>1</v>
      </c>
      <c r="AK305" s="279" t="b">
        <f t="shared" si="313"/>
        <v>1</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25">
      <c r="A306" s="275" t="s">
        <v>3</v>
      </c>
      <c r="C306" s="275">
        <v>93</v>
      </c>
      <c r="F306" s="279" t="b">
        <f t="shared" ref="F306:L306" si="315">AND($BG102=FALSE,AND(F204&lt;&gt;"",F204=FALSE),F102="")</f>
        <v>1</v>
      </c>
      <c r="G306" s="279" t="b">
        <f t="shared" si="315"/>
        <v>0</v>
      </c>
      <c r="H306" s="279" t="b">
        <f t="shared" si="315"/>
        <v>1</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1</v>
      </c>
      <c r="Q306" s="279" t="b">
        <f t="shared" si="316"/>
        <v>1</v>
      </c>
      <c r="AB306" s="279" t="b">
        <f t="shared" si="316"/>
        <v>1</v>
      </c>
      <c r="AC306" s="279" t="b">
        <f t="shared" si="316"/>
        <v>1</v>
      </c>
      <c r="AD306" s="279" t="b">
        <f t="shared" si="316"/>
        <v>1</v>
      </c>
      <c r="AE306" s="279" t="b">
        <f t="shared" si="316"/>
        <v>1</v>
      </c>
      <c r="AF306" s="279" t="b">
        <f t="shared" si="316"/>
        <v>1</v>
      </c>
      <c r="AG306" s="279" t="b">
        <f t="shared" si="316"/>
        <v>1</v>
      </c>
      <c r="AH306" s="279" t="b">
        <f t="shared" si="316"/>
        <v>1</v>
      </c>
      <c r="AI306" s="279" t="b">
        <f t="shared" si="316"/>
        <v>1</v>
      </c>
      <c r="AJ306" s="279" t="b">
        <f t="shared" si="316"/>
        <v>1</v>
      </c>
      <c r="AK306" s="279" t="b">
        <f t="shared" si="316"/>
        <v>1</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25">
      <c r="A307" s="275" t="s">
        <v>3</v>
      </c>
      <c r="C307" s="275">
        <v>94</v>
      </c>
      <c r="F307" s="279" t="b">
        <f t="shared" ref="F307:L307" si="318">AND($BG103=FALSE,AND(F205&lt;&gt;"",F205=FALSE),F103="")</f>
        <v>1</v>
      </c>
      <c r="G307" s="279" t="b">
        <f t="shared" si="318"/>
        <v>0</v>
      </c>
      <c r="H307" s="279" t="b">
        <f t="shared" si="318"/>
        <v>1</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1</v>
      </c>
      <c r="Q307" s="279" t="b">
        <f t="shared" si="316"/>
        <v>1</v>
      </c>
      <c r="AB307" s="279" t="b">
        <f t="shared" si="316"/>
        <v>1</v>
      </c>
      <c r="AC307" s="279" t="b">
        <f t="shared" si="316"/>
        <v>1</v>
      </c>
      <c r="AD307" s="279" t="b">
        <f t="shared" si="316"/>
        <v>1</v>
      </c>
      <c r="AE307" s="279" t="b">
        <f t="shared" si="316"/>
        <v>1</v>
      </c>
      <c r="AF307" s="279" t="b">
        <f t="shared" si="316"/>
        <v>1</v>
      </c>
      <c r="AG307" s="279" t="b">
        <f t="shared" si="316"/>
        <v>1</v>
      </c>
      <c r="AH307" s="279" t="b">
        <f t="shared" si="316"/>
        <v>1</v>
      </c>
      <c r="AI307" s="279" t="b">
        <f t="shared" si="316"/>
        <v>1</v>
      </c>
      <c r="AJ307" s="279" t="b">
        <f t="shared" si="316"/>
        <v>1</v>
      </c>
      <c r="AK307" s="279" t="b">
        <f t="shared" si="316"/>
        <v>1</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25">
      <c r="A308" s="275" t="s">
        <v>3</v>
      </c>
      <c r="C308" s="275">
        <v>95</v>
      </c>
      <c r="F308" s="279" t="b">
        <f t="shared" ref="F308:L308" si="321">AND($BG104=FALSE,AND(F206&lt;&gt;"",F206=FALSE),F104="")</f>
        <v>1</v>
      </c>
      <c r="G308" s="279" t="b">
        <f t="shared" si="321"/>
        <v>0</v>
      </c>
      <c r="H308" s="279" t="b">
        <f t="shared" si="321"/>
        <v>1</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1</v>
      </c>
      <c r="Q308" s="279" t="b">
        <f t="shared" si="316"/>
        <v>1</v>
      </c>
      <c r="AB308" s="279" t="b">
        <f t="shared" si="316"/>
        <v>1</v>
      </c>
      <c r="AC308" s="279" t="b">
        <f t="shared" si="316"/>
        <v>1</v>
      </c>
      <c r="AD308" s="279" t="b">
        <f t="shared" si="316"/>
        <v>1</v>
      </c>
      <c r="AE308" s="279" t="b">
        <f t="shared" si="316"/>
        <v>1</v>
      </c>
      <c r="AF308" s="279" t="b">
        <f t="shared" si="316"/>
        <v>1</v>
      </c>
      <c r="AG308" s="279" t="b">
        <f t="shared" si="316"/>
        <v>1</v>
      </c>
      <c r="AH308" s="279" t="b">
        <f t="shared" si="316"/>
        <v>1</v>
      </c>
      <c r="AI308" s="279" t="b">
        <f t="shared" si="316"/>
        <v>1</v>
      </c>
      <c r="AJ308" s="279" t="b">
        <f t="shared" si="316"/>
        <v>1</v>
      </c>
      <c r="AK308" s="279" t="b">
        <f t="shared" si="316"/>
        <v>1</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25">
      <c r="A309" s="275" t="s">
        <v>3</v>
      </c>
      <c r="C309" s="275">
        <v>96</v>
      </c>
      <c r="F309" s="279" t="b">
        <f t="shared" ref="F309:L309" si="324">AND($BG105=FALSE,AND(F207&lt;&gt;"",F207=FALSE),F105="")</f>
        <v>1</v>
      </c>
      <c r="G309" s="279" t="b">
        <f t="shared" si="324"/>
        <v>0</v>
      </c>
      <c r="H309" s="279" t="b">
        <f t="shared" si="324"/>
        <v>1</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1</v>
      </c>
      <c r="Q309" s="279" t="b">
        <f t="shared" si="316"/>
        <v>1</v>
      </c>
      <c r="AB309" s="279" t="b">
        <f t="shared" si="316"/>
        <v>1</v>
      </c>
      <c r="AC309" s="279" t="b">
        <f t="shared" si="316"/>
        <v>1</v>
      </c>
      <c r="AD309" s="279" t="b">
        <f t="shared" si="316"/>
        <v>1</v>
      </c>
      <c r="AE309" s="279" t="b">
        <f t="shared" si="316"/>
        <v>1</v>
      </c>
      <c r="AF309" s="279" t="b">
        <f t="shared" si="316"/>
        <v>1</v>
      </c>
      <c r="AG309" s="279" t="b">
        <f t="shared" si="316"/>
        <v>1</v>
      </c>
      <c r="AH309" s="279" t="b">
        <f t="shared" si="316"/>
        <v>1</v>
      </c>
      <c r="AI309" s="279" t="b">
        <f t="shared" si="316"/>
        <v>1</v>
      </c>
      <c r="AJ309" s="279" t="b">
        <f t="shared" si="316"/>
        <v>1</v>
      </c>
      <c r="AK309" s="279" t="b">
        <f t="shared" si="316"/>
        <v>1</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25">
      <c r="A310" s="275" t="s">
        <v>3</v>
      </c>
      <c r="C310" s="275">
        <v>97</v>
      </c>
      <c r="F310" s="279" t="b">
        <f t="shared" ref="F310:L310" si="327">AND($BG106=FALSE,AND(F208&lt;&gt;"",F208=FALSE),F106="")</f>
        <v>1</v>
      </c>
      <c r="G310" s="279" t="b">
        <f t="shared" si="327"/>
        <v>0</v>
      </c>
      <c r="H310" s="279" t="b">
        <f t="shared" si="327"/>
        <v>1</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1</v>
      </c>
      <c r="Q310" s="279" t="b">
        <f t="shared" si="316"/>
        <v>1</v>
      </c>
      <c r="AB310" s="279" t="b">
        <f t="shared" si="316"/>
        <v>1</v>
      </c>
      <c r="AC310" s="279" t="b">
        <f t="shared" si="316"/>
        <v>1</v>
      </c>
      <c r="AD310" s="279" t="b">
        <f t="shared" si="316"/>
        <v>1</v>
      </c>
      <c r="AE310" s="279" t="b">
        <f t="shared" si="316"/>
        <v>1</v>
      </c>
      <c r="AF310" s="279" t="b">
        <f t="shared" si="316"/>
        <v>1</v>
      </c>
      <c r="AG310" s="279" t="b">
        <f t="shared" si="316"/>
        <v>1</v>
      </c>
      <c r="AH310" s="279" t="b">
        <f t="shared" si="316"/>
        <v>1</v>
      </c>
      <c r="AI310" s="279" t="b">
        <f t="shared" si="316"/>
        <v>1</v>
      </c>
      <c r="AJ310" s="279" t="b">
        <f t="shared" si="316"/>
        <v>1</v>
      </c>
      <c r="AK310" s="279" t="b">
        <f t="shared" si="316"/>
        <v>1</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25">
      <c r="A311" s="275" t="s">
        <v>3</v>
      </c>
      <c r="C311" s="275">
        <v>98</v>
      </c>
      <c r="F311" s="279" t="b">
        <f t="shared" ref="F311:L311" si="330">AND($BG107=FALSE,AND(F209&lt;&gt;"",F209=FALSE),F107="")</f>
        <v>1</v>
      </c>
      <c r="G311" s="279" t="b">
        <f t="shared" si="330"/>
        <v>0</v>
      </c>
      <c r="H311" s="279" t="b">
        <f t="shared" si="330"/>
        <v>1</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1</v>
      </c>
      <c r="Q311" s="279" t="b">
        <f t="shared" si="316"/>
        <v>1</v>
      </c>
      <c r="AB311" s="279" t="b">
        <f t="shared" si="316"/>
        <v>1</v>
      </c>
      <c r="AC311" s="279" t="b">
        <f t="shared" si="316"/>
        <v>1</v>
      </c>
      <c r="AD311" s="279" t="b">
        <f t="shared" si="316"/>
        <v>1</v>
      </c>
      <c r="AE311" s="279" t="b">
        <f t="shared" si="316"/>
        <v>1</v>
      </c>
      <c r="AF311" s="279" t="b">
        <f t="shared" si="316"/>
        <v>1</v>
      </c>
      <c r="AG311" s="279" t="b">
        <f t="shared" si="316"/>
        <v>1</v>
      </c>
      <c r="AH311" s="279" t="b">
        <f t="shared" si="316"/>
        <v>1</v>
      </c>
      <c r="AI311" s="279" t="b">
        <f t="shared" si="316"/>
        <v>1</v>
      </c>
      <c r="AJ311" s="279" t="b">
        <f t="shared" si="316"/>
        <v>1</v>
      </c>
      <c r="AK311" s="279" t="b">
        <f t="shared" si="316"/>
        <v>1</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25">
      <c r="A312" s="275" t="s">
        <v>3</v>
      </c>
      <c r="C312" s="275">
        <v>99</v>
      </c>
      <c r="F312" s="279" t="b">
        <f t="shared" ref="F312:L312" si="333">AND($BG108=FALSE,AND(F210&lt;&gt;"",F210=FALSE),F108="")</f>
        <v>1</v>
      </c>
      <c r="G312" s="279" t="b">
        <f t="shared" si="333"/>
        <v>0</v>
      </c>
      <c r="H312" s="279" t="b">
        <f t="shared" si="333"/>
        <v>1</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1</v>
      </c>
      <c r="Q312" s="279" t="b">
        <f t="shared" si="316"/>
        <v>1</v>
      </c>
      <c r="AB312" s="279" t="b">
        <f t="shared" si="316"/>
        <v>1</v>
      </c>
      <c r="AC312" s="279" t="b">
        <f t="shared" si="316"/>
        <v>1</v>
      </c>
      <c r="AD312" s="279" t="b">
        <f t="shared" si="316"/>
        <v>1</v>
      </c>
      <c r="AE312" s="279" t="b">
        <f t="shared" si="316"/>
        <v>1</v>
      </c>
      <c r="AF312" s="279" t="b">
        <f t="shared" si="316"/>
        <v>1</v>
      </c>
      <c r="AG312" s="279" t="b">
        <f t="shared" si="316"/>
        <v>1</v>
      </c>
      <c r="AH312" s="279" t="b">
        <f t="shared" si="316"/>
        <v>1</v>
      </c>
      <c r="AI312" s="279" t="b">
        <f t="shared" si="316"/>
        <v>1</v>
      </c>
      <c r="AJ312" s="279" t="b">
        <f t="shared" si="316"/>
        <v>1</v>
      </c>
      <c r="AK312" s="279" t="b">
        <f t="shared" si="316"/>
        <v>1</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25">
      <c r="A313" s="275" t="s">
        <v>3</v>
      </c>
      <c r="C313" s="275">
        <v>100</v>
      </c>
      <c r="F313" s="279" t="b">
        <f t="shared" ref="F313:L313" si="336">AND($BG109=FALSE,AND(F211&lt;&gt;"",F211=FALSE),F109="")</f>
        <v>1</v>
      </c>
      <c r="G313" s="279" t="b">
        <f t="shared" si="336"/>
        <v>0</v>
      </c>
      <c r="H313" s="279" t="b">
        <f t="shared" si="336"/>
        <v>1</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1</v>
      </c>
      <c r="Q313" s="279" t="b">
        <f t="shared" si="316"/>
        <v>1</v>
      </c>
      <c r="AB313" s="279" t="b">
        <f t="shared" si="316"/>
        <v>1</v>
      </c>
      <c r="AC313" s="279" t="b">
        <f t="shared" si="316"/>
        <v>1</v>
      </c>
      <c r="AD313" s="279" t="b">
        <f t="shared" si="316"/>
        <v>1</v>
      </c>
      <c r="AE313" s="279" t="b">
        <f t="shared" si="316"/>
        <v>1</v>
      </c>
      <c r="AF313" s="279" t="b">
        <f t="shared" si="316"/>
        <v>1</v>
      </c>
      <c r="AG313" s="279" t="b">
        <f t="shared" si="316"/>
        <v>1</v>
      </c>
      <c r="AH313" s="279" t="b">
        <f t="shared" si="316"/>
        <v>1</v>
      </c>
      <c r="AI313" s="279" t="b">
        <f t="shared" si="316"/>
        <v>1</v>
      </c>
      <c r="AJ313" s="279" t="b">
        <f t="shared" si="316"/>
        <v>1</v>
      </c>
      <c r="AK313" s="279" t="b">
        <f t="shared" si="316"/>
        <v>1</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25">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G128"/>
  <sheetViews>
    <sheetView zoomScaleNormal="100" workbookViewId="0">
      <pane ySplit="2" topLeftCell="A3" activePane="bottomLeft" state="frozen"/>
      <selection activeCell="B2" sqref="B2"/>
      <selection pane="bottomLeft" activeCell="B2" sqref="B2:F2"/>
    </sheetView>
  </sheetViews>
  <sheetFormatPr baseColWidth="10" defaultColWidth="11.42578125" defaultRowHeight="12" x14ac:dyDescent="0.25"/>
  <cols>
    <col min="1" max="1" width="4.7109375" style="275" hidden="1" customWidth="1"/>
    <col min="2" max="2" width="1.7109375" style="241" customWidth="1"/>
    <col min="3" max="3" width="3.7109375" style="241" customWidth="1"/>
    <col min="4" max="5" width="20.7109375" style="241" customWidth="1"/>
    <col min="6" max="6" width="12.7109375" style="241" customWidth="1"/>
    <col min="7" max="7" width="75.7109375" style="241" customWidth="1"/>
    <col min="8" max="8" width="30.7109375" style="241" customWidth="1"/>
    <col min="9" max="53" width="12.7109375" style="241" customWidth="1"/>
    <col min="54" max="54" width="12.7109375" style="241" hidden="1" customWidth="1"/>
    <col min="55" max="59" width="11.42578125" style="275" hidden="1" customWidth="1"/>
    <col min="60" max="16384" width="11.42578125" style="241"/>
  </cols>
  <sheetData>
    <row r="1" spans="1:59" ht="12.75" hidden="1" thickBot="1" x14ac:dyDescent="0.3">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t="s">
        <v>3</v>
      </c>
      <c r="BC1" s="275" t="s">
        <v>3</v>
      </c>
      <c r="BD1" s="275" t="s">
        <v>3</v>
      </c>
      <c r="BE1" s="275" t="s">
        <v>3</v>
      </c>
      <c r="BF1" s="275" t="s">
        <v>3</v>
      </c>
      <c r="BG1" s="275" t="s">
        <v>3</v>
      </c>
    </row>
    <row r="2" spans="1:59" ht="15.75" customHeight="1" thickBot="1" x14ac:dyDescent="0.3">
      <c r="B2" s="1462" t="str">
        <f>Translations!$C$619</f>
        <v>Communication with reporting declarants</v>
      </c>
      <c r="C2" s="1463"/>
      <c r="D2" s="1463"/>
      <c r="E2" s="1463"/>
      <c r="F2" s="1464"/>
      <c r="G2" s="893" t="str">
        <f ca="1">HYPERLINK("#"&amp;ADDRESS(2,3,,,a_Contents!$U$2),a_Contents!$B$2)</f>
        <v>Table of contents</v>
      </c>
      <c r="H2" s="893" t="str">
        <f ca="1">HYPERLINK("#"&amp;ADDRESS(2,3,,,G_FurtherGuidance!$U$2),G_FurtherGuidance!$B$2)</f>
        <v>Further Guidance</v>
      </c>
      <c r="I2" s="1163" t="str">
        <f ca="1">HYPERLINK("#"&amp;ADDRESS(2,3,,,Summary_Processes!$Y$2),Summary_Processes!$Y$2)</f>
        <v>Summary_Processes</v>
      </c>
      <c r="J2" s="1164"/>
      <c r="K2" s="1163" t="str">
        <f ca="1">HYPERLINK("#"&amp;ADDRESS(2,3,,,Summary_Products!$BF$2),Summary_Products!$BF$2)</f>
        <v>Summary_Products</v>
      </c>
      <c r="L2" s="1164"/>
      <c r="BC2" s="91" t="s">
        <v>114</v>
      </c>
      <c r="BD2" s="95" t="str">
        <f>ADDRESS(ROW($B$2),COLUMN($B$2)) &amp; ":" &amp; ADDRESS(MATCH("PRINT",$BC:$BC,0),COLUMN($BA$2))</f>
        <v>$B$2:$BA$127</v>
      </c>
      <c r="BE2" s="91" t="s">
        <v>25</v>
      </c>
      <c r="BF2" s="886" t="str">
        <f ca="1">IF(ISERROR(CELL("filename",BG2)),"Summary_Communication",MID(CELL("filename",BG2),FIND("]",CELL("filename",BG2))+1,1024))</f>
        <v>Summary_Communication</v>
      </c>
    </row>
    <row r="3" spans="1:59" ht="5.0999999999999996" customHeight="1" x14ac:dyDescent="0.25">
      <c r="J3" s="369"/>
      <c r="M3" s="369"/>
      <c r="N3" s="369"/>
    </row>
    <row r="4" spans="1:59" ht="5.0999999999999996" customHeight="1" x14ac:dyDescent="0.2">
      <c r="C4" s="364"/>
      <c r="D4" s="1465"/>
      <c r="E4" s="1466"/>
      <c r="F4" s="1466"/>
      <c r="G4" s="1466"/>
      <c r="H4" s="1466"/>
      <c r="I4" s="1466"/>
      <c r="J4" s="1466"/>
      <c r="K4" s="1466"/>
      <c r="L4" s="1466"/>
      <c r="M4" s="1466"/>
      <c r="N4" s="369"/>
    </row>
    <row r="5" spans="1:59" ht="25.9" customHeight="1" x14ac:dyDescent="0.2">
      <c r="C5" s="364"/>
      <c r="D5" s="1469"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62"/>
      <c r="F5" s="1162"/>
      <c r="G5" s="1162"/>
      <c r="H5" s="1162"/>
      <c r="I5" s="1162"/>
      <c r="J5" s="1162"/>
      <c r="K5" s="1162"/>
      <c r="L5" s="1162"/>
      <c r="M5" s="1162"/>
      <c r="N5" s="369"/>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110"/>
      <c r="BD5" s="156"/>
      <c r="BE5" s="276"/>
      <c r="BF5" s="276"/>
      <c r="BG5" s="276"/>
    </row>
    <row r="6" spans="1:59" ht="5.0999999999999996" customHeight="1" x14ac:dyDescent="0.2">
      <c r="C6" s="364"/>
      <c r="D6" s="364"/>
      <c r="E6" s="364"/>
      <c r="F6" s="364"/>
      <c r="G6" s="364"/>
      <c r="H6" s="364"/>
      <c r="I6" s="364"/>
      <c r="J6" s="364"/>
      <c r="K6" s="364"/>
      <c r="L6" s="364"/>
      <c r="M6" s="364"/>
      <c r="N6" s="369"/>
      <c r="BC6" s="1111"/>
    </row>
    <row r="7" spans="1:59" ht="5.0999999999999996" customHeight="1" x14ac:dyDescent="0.25">
      <c r="J7" s="369"/>
      <c r="M7" s="369"/>
      <c r="N7" s="369"/>
      <c r="BC7" s="1111"/>
    </row>
    <row r="8" spans="1:59" ht="18" customHeight="1" x14ac:dyDescent="0.2">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09"/>
      <c r="BB8" s="12"/>
      <c r="BC8" s="1110" t="s">
        <v>4197</v>
      </c>
      <c r="BD8" s="156"/>
      <c r="BE8" s="276"/>
      <c r="BF8" s="276"/>
      <c r="BG8" s="276"/>
    </row>
    <row r="9" spans="1:59" ht="5.0999999999999996" customHeight="1" x14ac:dyDescent="0.2">
      <c r="C9" s="93"/>
      <c r="D9" s="93"/>
      <c r="E9" s="93"/>
      <c r="F9" s="93"/>
      <c r="G9" s="93"/>
      <c r="H9" s="93"/>
      <c r="AA9" s="12"/>
      <c r="AB9" s="12"/>
      <c r="AC9" s="12"/>
      <c r="AD9" s="12"/>
      <c r="AE9" s="12"/>
      <c r="AF9" s="12"/>
      <c r="AG9" s="12"/>
      <c r="AH9" s="12"/>
      <c r="AZ9" s="12"/>
      <c r="BA9" s="12"/>
      <c r="BB9" s="12"/>
      <c r="BC9" s="1112"/>
      <c r="BD9" s="156"/>
      <c r="BE9" s="276"/>
      <c r="BF9" s="276"/>
      <c r="BG9" s="276"/>
    </row>
    <row r="10" spans="1:59" ht="12.75" customHeight="1" x14ac:dyDescent="0.2">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227"/>
      <c r="Q10" s="93"/>
      <c r="R10" s="12"/>
      <c r="S10" s="12"/>
      <c r="T10" s="12"/>
      <c r="U10" s="12"/>
      <c r="V10" s="12"/>
      <c r="W10" s="12"/>
      <c r="X10" s="12"/>
      <c r="Y10" s="12"/>
      <c r="Z10" s="227">
        <v>3</v>
      </c>
      <c r="AA10" s="227" t="str">
        <f>Translations!$C$1874</f>
        <v>Summary of emissions by monitoring methodology and data quality</v>
      </c>
      <c r="AB10" s="12"/>
      <c r="AC10" s="12"/>
      <c r="AD10" s="12"/>
      <c r="AE10" s="12"/>
      <c r="AF10" s="12"/>
      <c r="AG10" s="12"/>
      <c r="AH10" s="12"/>
      <c r="AI10" s="93"/>
      <c r="AK10" s="227">
        <v>4</v>
      </c>
      <c r="AL10" s="227" t="str">
        <f>Translations!$C$2117</f>
        <v>Further information</v>
      </c>
      <c r="AZ10" s="12"/>
      <c r="BA10" s="12"/>
      <c r="BB10" s="12"/>
      <c r="BC10" s="1110" t="s">
        <v>4196</v>
      </c>
      <c r="BD10" s="156"/>
      <c r="BE10" s="276"/>
      <c r="BF10" s="276"/>
      <c r="BG10" s="276"/>
    </row>
    <row r="11" spans="1:59" ht="51" customHeight="1" x14ac:dyDescent="0.2">
      <c r="C11" s="93"/>
      <c r="D11" s="1467" t="str">
        <f>Translations!$C$297</f>
        <v>Parameter</v>
      </c>
      <c r="E11" s="1467"/>
      <c r="F11" s="1467"/>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1157"/>
      <c r="Q11" s="228" t="s">
        <v>375</v>
      </c>
      <c r="R11" s="426" t="str">
        <f>Translations!$C$120</f>
        <v>Production process</v>
      </c>
      <c r="S11" s="419" t="str">
        <f>Translations!$C$107</f>
        <v>Aggregated goods category</v>
      </c>
      <c r="T11" s="310">
        <v>1</v>
      </c>
      <c r="U11" s="310">
        <v>2</v>
      </c>
      <c r="V11" s="310">
        <v>3</v>
      </c>
      <c r="W11" s="310">
        <v>4</v>
      </c>
      <c r="X11" s="310">
        <v>5</v>
      </c>
      <c r="Y11" s="310">
        <v>6</v>
      </c>
      <c r="Z11" s="93"/>
      <c r="AA11" s="1459" t="str">
        <f>Translations!$C$1853</f>
        <v>Calculation - based (excl. PFC emissions)</v>
      </c>
      <c r="AB11" s="1459"/>
      <c r="AC11" s="1459" t="str">
        <f>Translations!$C$236</f>
        <v>Total PFC emissions</v>
      </c>
      <c r="AD11" s="1459"/>
      <c r="AE11" s="1459" t="str">
        <f>Translations!$C$1854</f>
        <v>Measurement - based</v>
      </c>
      <c r="AF11" s="1459"/>
      <c r="AG11" s="1459" t="str">
        <f>Translations!$C$638</f>
        <v>Other</v>
      </c>
      <c r="AH11" s="1459"/>
      <c r="AI11" s="93"/>
      <c r="AZ11" s="12"/>
      <c r="BA11" s="12"/>
      <c r="BB11" s="12"/>
      <c r="BC11" s="104"/>
      <c r="BD11" s="156"/>
      <c r="BE11" s="276"/>
      <c r="BF11" s="276"/>
      <c r="BG11" s="276"/>
    </row>
    <row r="12" spans="1:59" ht="12.75" customHeight="1" x14ac:dyDescent="0.2">
      <c r="C12" s="93"/>
      <c r="D12" s="133" t="str">
        <f>Translations!$C$74</f>
        <v>Name of the installation (English name):</v>
      </c>
      <c r="E12" s="133"/>
      <c r="F12" s="619"/>
      <c r="G12" s="420" t="str">
        <f>Summary_Processes!G10</f>
        <v/>
      </c>
      <c r="H12" s="770" t="str">
        <f>Summary_Processes!D21</f>
        <v>G1</v>
      </c>
      <c r="I12" s="420" t="str">
        <f>IF(Summary_Processes!E21="","",INDEX(Translations!$C:$C,MATCH(Summary_Processes!E21,Translations!$B:$B,0)))</f>
        <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1157"/>
      <c r="Q12" s="771" t="str">
        <f>Summary_Processes!D33</f>
        <v>P1</v>
      </c>
      <c r="R12" s="420" t="str">
        <f>Summary_Processes!E33</f>
        <v/>
      </c>
      <c r="S12" s="420" t="str">
        <f>IF(Summary_Processes!F33="","",INDEX(Translations!$C:$C,MATCH(Summary_Processes!F33,Translations!$B:$B,0)))</f>
        <v/>
      </c>
      <c r="T12" s="765" t="str">
        <f>IF(Summary_Processes!G33="","",INDEX(Translations!$C:$C,MATCH(Summary_Processes!G33,Translations!$B:$B,0)))</f>
        <v/>
      </c>
      <c r="U12" s="765" t="str">
        <f>IF(Summary_Processes!H33="","",INDEX(Translations!$C:$C,MATCH(Summary_Processes!H33,Translations!$B:$B,0)))</f>
        <v/>
      </c>
      <c r="V12" s="765" t="str">
        <f>IF(Summary_Processes!I33="","",INDEX(Translations!$C:$C,MATCH(Summary_Processes!I33,Translations!$B:$B,0)))</f>
        <v/>
      </c>
      <c r="W12" s="765" t="str">
        <f>IF(Summary_Processes!J33="","",INDEX(Translations!$C:$C,MATCH(Summary_Processes!J33,Translations!$B:$B,0)))</f>
        <v/>
      </c>
      <c r="X12" s="765" t="str">
        <f>IF(Summary_Processes!K33="","",INDEX(Translations!$C:$C,MATCH(Summary_Processes!K33,Translations!$B:$B,0)))</f>
        <v/>
      </c>
      <c r="Y12" s="765" t="str">
        <f>IF(Summary_Processes!L33="","",INDEX(Translations!$C:$C,MATCH(Summary_Processes!L33,Translations!$B:$B,0)))</f>
        <v/>
      </c>
      <c r="Z12" s="93"/>
      <c r="AA12" s="1460" t="str">
        <f>CONST_tCO2eq</f>
        <v>tCO2e</v>
      </c>
      <c r="AB12" s="1460"/>
      <c r="AC12" s="1460" t="str">
        <f>CONST_tCO2eq</f>
        <v>tCO2e</v>
      </c>
      <c r="AD12" s="1460"/>
      <c r="AE12" s="1460" t="str">
        <f>CONST_tCO2eq</f>
        <v>tCO2e</v>
      </c>
      <c r="AF12" s="1460"/>
      <c r="AG12" s="1460" t="str">
        <f>CONST_tCO2eq</f>
        <v>tCO2e</v>
      </c>
      <c r="AH12" s="1460"/>
      <c r="AI12" s="93"/>
      <c r="AL12" s="1143" t="str">
        <f>Translations!$C$2112</f>
        <v>Carbon price instrument:</v>
      </c>
      <c r="AM12" s="1468" t="str">
        <f>IF(Summary_Processes!M13="","",Summary_Processes!M13)</f>
        <v/>
      </c>
      <c r="AN12" s="1468"/>
      <c r="AO12" s="1468"/>
      <c r="AP12" s="1468"/>
      <c r="AQ12" s="1468"/>
      <c r="AR12" s="1468"/>
      <c r="AS12" s="1468"/>
      <c r="AT12" s="1468"/>
      <c r="AU12" s="1468"/>
      <c r="AV12" s="1468"/>
      <c r="AW12" s="1468"/>
      <c r="AX12" s="1468"/>
      <c r="AY12" s="1468"/>
      <c r="AZ12" s="1468"/>
      <c r="BA12" s="1468"/>
      <c r="BB12" s="12"/>
      <c r="BC12" s="104"/>
      <c r="BD12" s="156"/>
      <c r="BE12" s="276"/>
      <c r="BF12" s="276"/>
      <c r="BG12" s="276"/>
    </row>
    <row r="13" spans="1:59" ht="12.75" customHeight="1" x14ac:dyDescent="0.2">
      <c r="C13" s="93"/>
      <c r="D13" s="620" t="str">
        <f>Translations!$C$75</f>
        <v>Street, Number:</v>
      </c>
      <c r="E13" s="620"/>
      <c r="F13" s="621"/>
      <c r="G13" s="421" t="str">
        <f>Summary_Processes!G11</f>
        <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1157"/>
      <c r="Q13" s="771" t="str">
        <f>Summary_Processes!D34</f>
        <v>P2</v>
      </c>
      <c r="R13" s="421" t="str">
        <f>Summary_Processes!E34</f>
        <v/>
      </c>
      <c r="S13" s="421" t="str">
        <f>IF(Summary_Processes!F34="","",INDEX(Translations!$C:$C,MATCH(Summary_Processes!F34,Translations!$B:$B,0)))</f>
        <v/>
      </c>
      <c r="T13" s="766" t="str">
        <f>IF(Summary_Processes!G34="","",INDEX(Translations!$C:$C,MATCH(Summary_Processes!G34,Translations!$B:$B,0)))</f>
        <v/>
      </c>
      <c r="U13" s="766" t="str">
        <f>IF(Summary_Processes!H34="","",INDEX(Translations!$C:$C,MATCH(Summary_Processes!H34,Translations!$B:$B,0)))</f>
        <v/>
      </c>
      <c r="V13" s="766" t="str">
        <f>IF(Summary_Processes!I34="","",INDEX(Translations!$C:$C,MATCH(Summary_Processes!I34,Translations!$B:$B,0)))</f>
        <v/>
      </c>
      <c r="W13" s="766" t="str">
        <f>IF(Summary_Processes!J34="","",INDEX(Translations!$C:$C,MATCH(Summary_Processes!J34,Translations!$B:$B,0)))</f>
        <v/>
      </c>
      <c r="X13" s="766" t="str">
        <f>IF(Summary_Processes!K34="","",INDEX(Translations!$C:$C,MATCH(Summary_Processes!K34,Translations!$B:$B,0)))</f>
        <v/>
      </c>
      <c r="Y13" s="766" t="str">
        <f>IF(Summary_Processes!L34="","",INDEX(Translations!$C:$C,MATCH(Summary_Processes!L34,Translations!$B:$B,0)))</f>
        <v/>
      </c>
      <c r="Z13" s="93"/>
      <c r="AA13" s="1461" t="str">
        <f>'C_Emissions&amp;Energy'!H32</f>
        <v/>
      </c>
      <c r="AB13" s="1461"/>
      <c r="AC13" s="1461" t="str">
        <f>'C_Emissions&amp;Energy'!I32</f>
        <v/>
      </c>
      <c r="AD13" s="1461"/>
      <c r="AE13" s="1461" t="str">
        <f>'C_Emissions&amp;Energy'!J32</f>
        <v/>
      </c>
      <c r="AF13" s="1461"/>
      <c r="AG13" s="1461" t="str">
        <f>'C_Emissions&amp;Energy'!K32</f>
        <v/>
      </c>
      <c r="AH13" s="1461"/>
      <c r="AI13" s="93"/>
      <c r="AL13" s="1143" t="str">
        <f>Translations!$C$2114</f>
        <v>Any additional information:</v>
      </c>
      <c r="AM13" s="1468" t="str">
        <f>IF(Summary_Processes!M16="","",Summary_Processes!M16)</f>
        <v/>
      </c>
      <c r="AN13" s="1468"/>
      <c r="AO13" s="1468"/>
      <c r="AP13" s="1468"/>
      <c r="AQ13" s="1468"/>
      <c r="AR13" s="1468"/>
      <c r="AS13" s="1468"/>
      <c r="AT13" s="1468"/>
      <c r="AU13" s="1468"/>
      <c r="AV13" s="1468"/>
      <c r="AW13" s="1468"/>
      <c r="AX13" s="1468"/>
      <c r="AY13" s="1468"/>
      <c r="AZ13" s="1468"/>
      <c r="BA13" s="1468"/>
      <c r="BB13" s="12"/>
      <c r="BC13" s="104"/>
      <c r="BD13" s="156"/>
      <c r="BE13" s="276"/>
      <c r="BF13" s="276"/>
      <c r="BG13" s="276"/>
    </row>
    <row r="14" spans="1:59" ht="12.75" customHeight="1" x14ac:dyDescent="0.2">
      <c r="C14" s="93"/>
      <c r="D14" s="620" t="str">
        <f>Translations!$C$76</f>
        <v>Economic activity:</v>
      </c>
      <c r="E14" s="620"/>
      <c r="F14" s="621"/>
      <c r="G14" s="421" t="str">
        <f>Summary_Processes!G12</f>
        <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1157"/>
      <c r="Q14" s="771" t="str">
        <f>Summary_Processes!D35</f>
        <v>P3</v>
      </c>
      <c r="R14" s="421" t="str">
        <f>Summary_Processes!E35</f>
        <v/>
      </c>
      <c r="S14" s="421" t="str">
        <f>IF(Summary_Processes!F35="","",INDEX(Translations!$C:$C,MATCH(Summary_Processes!F35,Translations!$B:$B,0)))</f>
        <v/>
      </c>
      <c r="T14" s="766" t="str">
        <f>IF(Summary_Processes!G35="","",INDEX(Translations!$C:$C,MATCH(Summary_Processes!G35,Translations!$B:$B,0)))</f>
        <v/>
      </c>
      <c r="U14" s="766" t="str">
        <f>IF(Summary_Processes!H35="","",INDEX(Translations!$C:$C,MATCH(Summary_Processes!H35,Translations!$B:$B,0)))</f>
        <v/>
      </c>
      <c r="V14" s="766" t="str">
        <f>IF(Summary_Processes!I35="","",INDEX(Translations!$C:$C,MATCH(Summary_Processes!I35,Translations!$B:$B,0)))</f>
        <v/>
      </c>
      <c r="W14" s="766" t="str">
        <f>IF(Summary_Processes!J35="","",INDEX(Translations!$C:$C,MATCH(Summary_Processes!J35,Translations!$B:$B,0)))</f>
        <v/>
      </c>
      <c r="X14" s="766" t="str">
        <f>IF(Summary_Processes!K35="","",INDEX(Translations!$C:$C,MATCH(Summary_Processes!K35,Translations!$B:$B,0)))</f>
        <v/>
      </c>
      <c r="Y14" s="766" t="str">
        <f>IF(Summary_Processes!L35="","",INDEX(Translations!$C:$C,MATCH(Summary_Processes!L35,Translations!$B:$B,0)))</f>
        <v/>
      </c>
      <c r="Z14" s="93"/>
      <c r="AA14" s="93"/>
      <c r="AB14" s="93"/>
      <c r="AC14" s="93"/>
      <c r="AD14" s="93"/>
      <c r="AE14" s="93"/>
      <c r="AF14" s="93"/>
      <c r="AG14" s="93"/>
      <c r="AH14" s="93"/>
      <c r="AI14" s="93"/>
      <c r="AZ14" s="12"/>
      <c r="BA14" s="12"/>
      <c r="BB14" s="12"/>
      <c r="BC14" s="104"/>
      <c r="BD14" s="156"/>
      <c r="BE14" s="276"/>
      <c r="BF14" s="276"/>
      <c r="BG14" s="276"/>
    </row>
    <row r="15" spans="1:59" ht="12.75" customHeight="1" x14ac:dyDescent="0.2">
      <c r="C15" s="93"/>
      <c r="D15" s="620" t="str">
        <f>Translations!$C$80</f>
        <v>Country:</v>
      </c>
      <c r="E15" s="620"/>
      <c r="F15" s="621"/>
      <c r="G15" s="421" t="str">
        <f>Summary_Processes!G13</f>
        <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1157"/>
      <c r="Q15" s="771" t="str">
        <f>Summary_Processes!D36</f>
        <v>P4</v>
      </c>
      <c r="R15" s="421" t="str">
        <f>Summary_Processes!E36</f>
        <v/>
      </c>
      <c r="S15" s="421" t="str">
        <f>IF(Summary_Processes!F36="","",INDEX(Translations!$C:$C,MATCH(Summary_Processes!F36,Translations!$B:$B,0)))</f>
        <v/>
      </c>
      <c r="T15" s="766" t="str">
        <f>IF(Summary_Processes!G36="","",INDEX(Translations!$C:$C,MATCH(Summary_Processes!G36,Translations!$B:$B,0)))</f>
        <v/>
      </c>
      <c r="U15" s="766" t="str">
        <f>IF(Summary_Processes!H36="","",INDEX(Translations!$C:$C,MATCH(Summary_Processes!H36,Translations!$B:$B,0)))</f>
        <v/>
      </c>
      <c r="V15" s="766" t="str">
        <f>IF(Summary_Processes!I36="","",INDEX(Translations!$C:$C,MATCH(Summary_Processes!I36,Translations!$B:$B,0)))</f>
        <v/>
      </c>
      <c r="W15" s="766" t="str">
        <f>IF(Summary_Processes!J36="","",INDEX(Translations!$C:$C,MATCH(Summary_Processes!J36,Translations!$B:$B,0)))</f>
        <v/>
      </c>
      <c r="X15" s="766" t="str">
        <f>IF(Summary_Processes!K36="","",INDEX(Translations!$C:$C,MATCH(Summary_Processes!K36,Translations!$B:$B,0)))</f>
        <v/>
      </c>
      <c r="Y15" s="766" t="str">
        <f>IF(Summary_Processes!L36="","",INDEX(Translations!$C:$C,MATCH(Summary_Processes!L36,Translations!$B:$B,0)))</f>
        <v/>
      </c>
      <c r="Z15" s="93"/>
      <c r="AA15" s="133" t="str">
        <f>Translations!$C$624</f>
        <v>Total direct emissions during reporting period:</v>
      </c>
      <c r="AB15" s="133"/>
      <c r="AC15" s="133"/>
      <c r="AD15" s="133"/>
      <c r="AE15" s="133"/>
      <c r="AF15" s="133"/>
      <c r="AG15" s="133"/>
      <c r="AH15" s="238" t="str">
        <f>CONST_tCO2eq</f>
        <v>tCO2e</v>
      </c>
      <c r="AI15" s="231" t="str">
        <f>'C_Emissions&amp;Energy'!L27</f>
        <v/>
      </c>
      <c r="AZ15" s="12"/>
      <c r="BA15" s="12"/>
      <c r="BB15" s="12"/>
      <c r="BC15" s="104"/>
      <c r="BD15" s="156"/>
      <c r="BE15" s="276"/>
      <c r="BF15" s="276"/>
      <c r="BG15" s="276"/>
    </row>
    <row r="16" spans="1:59" ht="12.75" customHeight="1" x14ac:dyDescent="0.2">
      <c r="C16" s="93"/>
      <c r="D16" s="620" t="str">
        <f>Translations!$C$80</f>
        <v>Country:</v>
      </c>
      <c r="E16" s="620"/>
      <c r="F16" s="621"/>
      <c r="G16" s="421" t="str">
        <f>A_InstData!S26</f>
        <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1157"/>
      <c r="Q16" s="771" t="str">
        <f>Summary_Processes!D37</f>
        <v>P5</v>
      </c>
      <c r="R16" s="421" t="str">
        <f>Summary_Processes!E37</f>
        <v/>
      </c>
      <c r="S16" s="421" t="str">
        <f>IF(Summary_Processes!F37="","",INDEX(Translations!$C:$C,MATCH(Summary_Processes!F37,Translations!$B:$B,0)))</f>
        <v/>
      </c>
      <c r="T16" s="766" t="str">
        <f>IF(Summary_Processes!G37="","",INDEX(Translations!$C:$C,MATCH(Summary_Processes!G37,Translations!$B:$B,0)))</f>
        <v/>
      </c>
      <c r="U16" s="766" t="str">
        <f>IF(Summary_Processes!H37="","",INDEX(Translations!$C:$C,MATCH(Summary_Processes!H37,Translations!$B:$B,0)))</f>
        <v/>
      </c>
      <c r="V16" s="766" t="str">
        <f>IF(Summary_Processes!I37="","",INDEX(Translations!$C:$C,MATCH(Summary_Processes!I37,Translations!$B:$B,0)))</f>
        <v/>
      </c>
      <c r="W16" s="766" t="str">
        <f>IF(Summary_Processes!J37="","",INDEX(Translations!$C:$C,MATCH(Summary_Processes!J37,Translations!$B:$B,0)))</f>
        <v/>
      </c>
      <c r="X16" s="766" t="str">
        <f>IF(Summary_Processes!K37="","",INDEX(Translations!$C:$C,MATCH(Summary_Processes!K37,Translations!$B:$B,0)))</f>
        <v/>
      </c>
      <c r="Y16" s="766" t="str">
        <f>IF(Summary_Processes!L37="","",INDEX(Translations!$C:$C,MATCH(Summary_Processes!L37,Translations!$B:$B,0)))</f>
        <v/>
      </c>
      <c r="Z16" s="93"/>
      <c r="AA16" s="620" t="str">
        <f>Translations!$C$625</f>
        <v>Total indirect emissions during reporting period:</v>
      </c>
      <c r="AB16" s="620"/>
      <c r="AC16" s="620"/>
      <c r="AD16" s="620"/>
      <c r="AE16" s="620"/>
      <c r="AF16" s="620"/>
      <c r="AG16" s="620"/>
      <c r="AH16" s="626" t="str">
        <f>CONST_tCO2eq</f>
        <v>tCO2e</v>
      </c>
      <c r="AI16" s="233" t="str">
        <f>'C_Emissions&amp;Energy'!M27</f>
        <v/>
      </c>
      <c r="AZ16" s="12"/>
      <c r="BA16" s="12"/>
      <c r="BB16" s="12"/>
      <c r="BC16" s="104"/>
      <c r="BD16" s="156"/>
      <c r="BE16" s="276"/>
      <c r="BF16" s="276"/>
      <c r="BG16" s="276"/>
    </row>
    <row r="17" spans="1:59" ht="12.75" customHeight="1" x14ac:dyDescent="0.2">
      <c r="C17" s="93"/>
      <c r="D17" s="620" t="str">
        <f>Translations!$C$81</f>
        <v>UNLOCODE:</v>
      </c>
      <c r="E17" s="620"/>
      <c r="F17" s="621"/>
      <c r="G17" s="421" t="str">
        <f>Summary_Processes!G15</f>
        <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1157"/>
      <c r="Q17" s="771" t="str">
        <f>Summary_Processes!D38</f>
        <v>P6</v>
      </c>
      <c r="R17" s="421" t="str">
        <f>Summary_Processes!E38</f>
        <v/>
      </c>
      <c r="S17" s="421" t="str">
        <f>IF(Summary_Processes!F38="","",INDEX(Translations!$C:$C,MATCH(Summary_Processes!F38,Translations!$B:$B,0)))</f>
        <v/>
      </c>
      <c r="T17" s="766" t="str">
        <f>IF(Summary_Processes!G38="","",INDEX(Translations!$C:$C,MATCH(Summary_Processes!G38,Translations!$B:$B,0)))</f>
        <v/>
      </c>
      <c r="U17" s="766" t="str">
        <f>IF(Summary_Processes!H38="","",INDEX(Translations!$C:$C,MATCH(Summary_Processes!H38,Translations!$B:$B,0)))</f>
        <v/>
      </c>
      <c r="V17" s="766" t="str">
        <f>IF(Summary_Processes!I38="","",INDEX(Translations!$C:$C,MATCH(Summary_Processes!I38,Translations!$B:$B,0)))</f>
        <v/>
      </c>
      <c r="W17" s="766" t="str">
        <f>IF(Summary_Processes!J38="","",INDEX(Translations!$C:$C,MATCH(Summary_Processes!J38,Translations!$B:$B,0)))</f>
        <v/>
      </c>
      <c r="X17" s="766" t="str">
        <f>IF(Summary_Processes!K38="","",INDEX(Translations!$C:$C,MATCH(Summary_Processes!K38,Translations!$B:$B,0)))</f>
        <v/>
      </c>
      <c r="Y17" s="766" t="str">
        <f>IF(Summary_Processes!L38="","",INDEX(Translations!$C:$C,MATCH(Summary_Processes!L38,Translations!$B:$B,0)))</f>
        <v/>
      </c>
      <c r="Z17" s="93"/>
      <c r="AA17" s="136" t="str">
        <f>Translations!$C$626</f>
        <v>Total emissions during reporting period:</v>
      </c>
      <c r="AB17" s="136"/>
      <c r="AC17" s="136"/>
      <c r="AD17" s="136"/>
      <c r="AE17" s="136"/>
      <c r="AF17" s="136"/>
      <c r="AG17" s="136"/>
      <c r="AH17" s="627" t="str">
        <f>CONST_tCO2eq</f>
        <v>tCO2e</v>
      </c>
      <c r="AI17" s="235" t="str">
        <f>'C_Emissions&amp;Energy'!N27</f>
        <v/>
      </c>
      <c r="AZ17" s="12"/>
      <c r="BA17" s="12"/>
      <c r="BB17" s="12"/>
      <c r="BC17" s="104"/>
      <c r="BD17" s="156"/>
      <c r="BE17" s="276"/>
      <c r="BF17" s="276"/>
      <c r="BG17" s="276"/>
    </row>
    <row r="18" spans="1:59" ht="12.75" customHeight="1" x14ac:dyDescent="0.2">
      <c r="C18" s="93"/>
      <c r="D18" s="620" t="str">
        <f>Translations!$C$82</f>
        <v>Coordinates of the main emission source (latitude):</v>
      </c>
      <c r="E18" s="620"/>
      <c r="F18" s="621"/>
      <c r="G18" s="421" t="str">
        <f>Summary_Processes!G16</f>
        <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1157"/>
      <c r="Q18" s="771" t="str">
        <f>Summary_Processes!D39</f>
        <v>P7</v>
      </c>
      <c r="R18" s="421" t="str">
        <f>Summary_Processes!E39</f>
        <v/>
      </c>
      <c r="S18" s="421" t="str">
        <f>IF(Summary_Processes!F39="","",INDEX(Translations!$C:$C,MATCH(Summary_Processes!F39,Translations!$B:$B,0)))</f>
        <v/>
      </c>
      <c r="T18" s="766" t="str">
        <f>IF(Summary_Processes!G39="","",INDEX(Translations!$C:$C,MATCH(Summary_Processes!G39,Translations!$B:$B,0)))</f>
        <v/>
      </c>
      <c r="U18" s="766" t="str">
        <f>IF(Summary_Processes!H39="","",INDEX(Translations!$C:$C,MATCH(Summary_Processes!H39,Translations!$B:$B,0)))</f>
        <v/>
      </c>
      <c r="V18" s="766" t="str">
        <f>IF(Summary_Processes!I39="","",INDEX(Translations!$C:$C,MATCH(Summary_Processes!I39,Translations!$B:$B,0)))</f>
        <v/>
      </c>
      <c r="W18" s="766" t="str">
        <f>IF(Summary_Processes!J39="","",INDEX(Translations!$C:$C,MATCH(Summary_Processes!J39,Translations!$B:$B,0)))</f>
        <v/>
      </c>
      <c r="X18" s="766" t="str">
        <f>IF(Summary_Processes!K39="","",INDEX(Translations!$C:$C,MATCH(Summary_Processes!K39,Translations!$B:$B,0)))</f>
        <v/>
      </c>
      <c r="Y18" s="766" t="str">
        <f>IF(Summary_Processes!L39="","",INDEX(Translations!$C:$C,MATCH(Summary_Processes!L39,Translations!$B:$B,0)))</f>
        <v/>
      </c>
      <c r="Z18" s="93"/>
      <c r="AA18" s="93"/>
      <c r="AB18" s="93"/>
      <c r="AC18" s="93"/>
      <c r="AD18" s="93"/>
      <c r="AE18" s="93"/>
      <c r="AF18" s="93"/>
      <c r="AG18" s="93"/>
      <c r="AH18" s="93"/>
      <c r="AI18" s="93"/>
      <c r="AZ18" s="12"/>
      <c r="BA18" s="12"/>
      <c r="BB18" s="12"/>
      <c r="BC18" s="104"/>
      <c r="BD18" s="156"/>
      <c r="BE18" s="276"/>
      <c r="BF18" s="276"/>
      <c r="BG18" s="276"/>
    </row>
    <row r="19" spans="1:59" ht="12.75" customHeight="1" x14ac:dyDescent="0.2">
      <c r="C19" s="93"/>
      <c r="D19" s="136" t="str">
        <f>Translations!$C$83</f>
        <v>Coordinates of the main emission source (longitude):</v>
      </c>
      <c r="E19" s="136"/>
      <c r="F19" s="622"/>
      <c r="G19" s="422" t="str">
        <f>Summary_Processes!G17</f>
        <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1157"/>
      <c r="Q19" s="771" t="str">
        <f>Summary_Processes!D40</f>
        <v>P8</v>
      </c>
      <c r="R19" s="421" t="str">
        <f>Summary_Processes!E40</f>
        <v/>
      </c>
      <c r="S19" s="421" t="str">
        <f>IF(Summary_Processes!F40="","",INDEX(Translations!$C:$C,MATCH(Summary_Processes!F40,Translations!$B:$B,0)))</f>
        <v/>
      </c>
      <c r="T19" s="766" t="str">
        <f>IF(Summary_Processes!G40="","",INDEX(Translations!$C:$C,MATCH(Summary_Processes!G40,Translations!$B:$B,0)))</f>
        <v/>
      </c>
      <c r="U19" s="766" t="str">
        <f>IF(Summary_Processes!H40="","",INDEX(Translations!$C:$C,MATCH(Summary_Processes!H40,Translations!$B:$B,0)))</f>
        <v/>
      </c>
      <c r="V19" s="766" t="str">
        <f>IF(Summary_Processes!I40="","",INDEX(Translations!$C:$C,MATCH(Summary_Processes!I40,Translations!$B:$B,0)))</f>
        <v/>
      </c>
      <c r="W19" s="766" t="str">
        <f>IF(Summary_Processes!J40="","",INDEX(Translations!$C:$C,MATCH(Summary_Processes!J40,Translations!$B:$B,0)))</f>
        <v/>
      </c>
      <c r="X19" s="766" t="str">
        <f>IF(Summary_Processes!K40="","",INDEX(Translations!$C:$C,MATCH(Summary_Processes!K40,Translations!$B:$B,0)))</f>
        <v/>
      </c>
      <c r="Y19" s="766" t="str">
        <f>IF(Summary_Processes!L40="","",INDEX(Translations!$C:$C,MATCH(Summary_Processes!L40,Translations!$B:$B,0)))</f>
        <v/>
      </c>
      <c r="Z19" s="93"/>
      <c r="AA19" s="170" t="str">
        <f>Translations!$C$1856</f>
        <v>General information on data quality:</v>
      </c>
      <c r="AB19" s="772"/>
      <c r="AC19" s="773"/>
      <c r="AD19" s="699" t="str">
        <f>IF('C_Emissions&amp;Energy'!H40="","",INDEX(Translations!$C:$C,MATCH('C_Emissions&amp;Energy'!H40,Translations!$B:$B,0)))</f>
        <v/>
      </c>
      <c r="AE19" s="700"/>
      <c r="AF19" s="700"/>
      <c r="AG19" s="700"/>
      <c r="AH19" s="700"/>
      <c r="AI19" s="701"/>
      <c r="AZ19" s="12"/>
      <c r="BA19" s="12"/>
      <c r="BB19" s="12"/>
      <c r="BC19" s="104"/>
      <c r="BD19" s="156"/>
      <c r="BE19" s="276"/>
      <c r="BF19" s="276"/>
      <c r="BG19" s="276"/>
    </row>
    <row r="20" spans="1:59" ht="12.75" customHeight="1" x14ac:dyDescent="0.2">
      <c r="C20" s="93"/>
      <c r="D20" s="617" t="str">
        <f>Translations!$C$548</f>
        <v>Reporting period start:</v>
      </c>
      <c r="E20" s="133"/>
      <c r="F20" s="619"/>
      <c r="G20" s="710" t="str">
        <f>Summary_Processes!L10</f>
        <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1157"/>
      <c r="Q20" s="771" t="str">
        <f>Summary_Processes!D41</f>
        <v>P9</v>
      </c>
      <c r="R20" s="421" t="str">
        <f>Summary_Processes!E41</f>
        <v/>
      </c>
      <c r="S20" s="421" t="str">
        <f>IF(Summary_Processes!F41="","",INDEX(Translations!$C:$C,MATCH(Summary_Processes!F41,Translations!$B:$B,0)))</f>
        <v/>
      </c>
      <c r="T20" s="766" t="str">
        <f>IF(Summary_Processes!G41="","",INDEX(Translations!$C:$C,MATCH(Summary_Processes!G41,Translations!$B:$B,0)))</f>
        <v/>
      </c>
      <c r="U20" s="766" t="str">
        <f>IF(Summary_Processes!H41="","",INDEX(Translations!$C:$C,MATCH(Summary_Processes!H41,Translations!$B:$B,0)))</f>
        <v/>
      </c>
      <c r="V20" s="766" t="str">
        <f>IF(Summary_Processes!I41="","",INDEX(Translations!$C:$C,MATCH(Summary_Processes!I41,Translations!$B:$B,0)))</f>
        <v/>
      </c>
      <c r="W20" s="766" t="str">
        <f>IF(Summary_Processes!J41="","",INDEX(Translations!$C:$C,MATCH(Summary_Processes!J41,Translations!$B:$B,0)))</f>
        <v/>
      </c>
      <c r="X20" s="766" t="str">
        <f>IF(Summary_Processes!K41="","",INDEX(Translations!$C:$C,MATCH(Summary_Processes!K41,Translations!$B:$B,0)))</f>
        <v/>
      </c>
      <c r="Y20" s="766" t="str">
        <f>IF(Summary_Processes!L41="","",INDEX(Translations!$C:$C,MATCH(Summary_Processes!L41,Translations!$B:$B,0)))</f>
        <v/>
      </c>
      <c r="Z20" s="93"/>
      <c r="AA20" s="170" t="str">
        <f>Translations!$C$1858</f>
        <v>Justification for use of default values (if relevant):</v>
      </c>
      <c r="AB20" s="772"/>
      <c r="AC20" s="773"/>
      <c r="AD20" s="699" t="str">
        <f>IF('C_Emissions&amp;Energy'!H41="","",INDEX(Translations!$C:$C,MATCH('C_Emissions&amp;Energy'!H41,Translations!$B:$B,0)))</f>
        <v/>
      </c>
      <c r="AE20" s="700"/>
      <c r="AF20" s="700"/>
      <c r="AG20" s="700"/>
      <c r="AH20" s="700"/>
      <c r="AI20" s="701"/>
      <c r="AZ20" s="12"/>
      <c r="BA20" s="12"/>
      <c r="BB20" s="12"/>
      <c r="BC20" s="104"/>
      <c r="BD20" s="156"/>
      <c r="BE20" s="276"/>
      <c r="BF20" s="276"/>
      <c r="BG20" s="276"/>
    </row>
    <row r="21" spans="1:59" ht="12.75" customHeight="1" x14ac:dyDescent="0.2">
      <c r="C21" s="130"/>
      <c r="D21" s="618" t="str">
        <f>Translations!$C$549</f>
        <v>Reporting period end:</v>
      </c>
      <c r="E21" s="136"/>
      <c r="F21" s="622"/>
      <c r="G21" s="711" t="str">
        <f>Summary_Processes!L11</f>
        <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1157"/>
      <c r="Q21" s="771" t="str">
        <f>Summary_Processes!D42</f>
        <v>P10</v>
      </c>
      <c r="R21" s="422" t="str">
        <f>Summary_Processes!E42</f>
        <v/>
      </c>
      <c r="S21" s="422" t="str">
        <f>IF(Summary_Processes!F42="","",INDEX(Translations!$C:$C,MATCH(Summary_Processes!F42,Translations!$B:$B,0)))</f>
        <v/>
      </c>
      <c r="T21" s="767" t="str">
        <f>IF(Summary_Processes!G42="","",INDEX(Translations!$C:$C,MATCH(Summary_Processes!G42,Translations!$B:$B,0)))</f>
        <v/>
      </c>
      <c r="U21" s="767" t="str">
        <f>IF(Summary_Processes!H42="","",INDEX(Translations!$C:$C,MATCH(Summary_Processes!H42,Translations!$B:$B,0)))</f>
        <v/>
      </c>
      <c r="V21" s="767" t="str">
        <f>IF(Summary_Processes!I42="","",INDEX(Translations!$C:$C,MATCH(Summary_Processes!I42,Translations!$B:$B,0)))</f>
        <v/>
      </c>
      <c r="W21" s="767" t="str">
        <f>IF(Summary_Processes!J42="","",INDEX(Translations!$C:$C,MATCH(Summary_Processes!J42,Translations!$B:$B,0)))</f>
        <v/>
      </c>
      <c r="X21" s="767" t="str">
        <f>IF(Summary_Processes!K42="","",INDEX(Translations!$C:$C,MATCH(Summary_Processes!K42,Translations!$B:$B,0)))</f>
        <v/>
      </c>
      <c r="Y21" s="767" t="str">
        <f>IF(Summary_Processes!L42="","",INDEX(Translations!$C:$C,MATCH(Summary_Processes!L42,Translations!$B:$B,0)))</f>
        <v/>
      </c>
      <c r="Z21" s="93"/>
      <c r="AA21" s="170" t="str">
        <f>Translations!$C$1860</f>
        <v>Information on quality assurance:</v>
      </c>
      <c r="AB21" s="772"/>
      <c r="AC21" s="773"/>
      <c r="AD21" s="699" t="str">
        <f>IF('C_Emissions&amp;Energy'!H42="","",INDEX(Translations!$C:$C,MATCH('C_Emissions&amp;Energy'!H42,Translations!$B:$B,0)))</f>
        <v/>
      </c>
      <c r="AE21" s="700"/>
      <c r="AF21" s="700"/>
      <c r="AG21" s="700"/>
      <c r="AH21" s="700"/>
      <c r="AI21" s="701"/>
      <c r="AZ21" s="12"/>
      <c r="BA21" s="12"/>
      <c r="BB21" s="12"/>
      <c r="BC21" s="104"/>
      <c r="BD21" s="156"/>
      <c r="BE21" s="276"/>
      <c r="BF21" s="276"/>
      <c r="BG21" s="276"/>
    </row>
    <row r="22" spans="1:59" ht="5.0999999999999996" customHeight="1" x14ac:dyDescent="0.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04"/>
      <c r="BD22" s="156"/>
      <c r="BE22" s="276"/>
      <c r="BF22" s="276"/>
      <c r="BG22" s="276"/>
    </row>
    <row r="23" spans="1:59" ht="18" customHeight="1" x14ac:dyDescent="0.2">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2"/>
      <c r="BC23" s="104"/>
      <c r="BD23" s="156"/>
      <c r="BE23" s="276"/>
      <c r="BF23" s="276"/>
      <c r="BG23" s="276"/>
    </row>
    <row r="24" spans="1:59" ht="5.0999999999999996" customHeight="1" x14ac:dyDescent="0.25">
      <c r="BD24" s="156"/>
      <c r="BE24" s="156"/>
      <c r="BF24" s="156"/>
      <c r="BG24" s="156"/>
    </row>
    <row r="25" spans="1:59" s="277" customFormat="1" ht="89.25" x14ac:dyDescent="0.2">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1149" t="str">
        <f>Translations!$C$2125</f>
        <v>Electricity EF (tCO2/MWh)</v>
      </c>
      <c r="Q25" s="768" t="str">
        <f>Translations!$C$483</f>
        <v>The main reducing agent of the precursor, if known</v>
      </c>
      <c r="R25" s="768" t="str">
        <f>Translations!$C$485</f>
        <v>Steel mill identification number</v>
      </c>
      <c r="S25" s="768" t="str">
        <f>Translations!$C$487</f>
        <v>% Mn</v>
      </c>
      <c r="T25" s="768" t="str">
        <f>Translations!$C$489</f>
        <v>% Cr</v>
      </c>
      <c r="U25" s="768" t="str">
        <f>Translations!$C$491</f>
        <v>% Ni</v>
      </c>
      <c r="V25" s="768" t="str">
        <f>Translations!$C$493</f>
        <v>% other alloys</v>
      </c>
      <c r="W25" s="768" t="str">
        <f>Translations!$C$495</f>
        <v>% carbon</v>
      </c>
      <c r="X25" s="768" t="str">
        <f>Translations!$C$497</f>
        <v>t scrap per t steel</v>
      </c>
      <c r="Y25" s="768" t="str">
        <f>Translations!$C$499</f>
        <v>% other materials</v>
      </c>
      <c r="Z25" s="768" t="str">
        <f>Translations!$C$503</f>
        <v>% pre-consumer scrap</v>
      </c>
      <c r="AA25" s="768" t="str">
        <f>Translations!$C$501</f>
        <v>t scrap per t aluminium</v>
      </c>
      <c r="AB25" s="768" t="str">
        <f>Translations!$C$505</f>
        <v>% non-aluminium elements</v>
      </c>
      <c r="AC25" s="768" t="str">
        <f>Translations!$C$507</f>
        <v>Clinker factor</v>
      </c>
      <c r="AD25" s="768" t="str">
        <f>Translations!$C$509</f>
        <v>Calcined or not</v>
      </c>
      <c r="AE25" s="768" t="str">
        <f>Translations!$C$511</f>
        <v>Concentration, if hydrous solution</v>
      </c>
      <c r="AF25" s="768" t="str">
        <f>Translations!$C$513</f>
        <v>% nitric acid</v>
      </c>
      <c r="AG25" s="768" t="str">
        <f>Translations!$C$515</f>
        <v>% urea</v>
      </c>
      <c r="AH25" s="768" t="str">
        <f>Translations!$C$517</f>
        <v>% N contained</v>
      </c>
      <c r="AI25" s="768" t="str">
        <f>Translations!$C$519</f>
        <v>% N as ammonium (NH4+)</v>
      </c>
      <c r="AJ25" s="768" t="str">
        <f>Translations!$C$521</f>
        <v>% N as nitrate (NO3–)</v>
      </c>
      <c r="AK25" s="768" t="str">
        <f>Translations!$C$523</f>
        <v>% N as Urea</v>
      </c>
      <c r="AL25" s="768" t="str">
        <f>Translations!$C$525</f>
        <v>% N in other (organic) forms</v>
      </c>
      <c r="AM25" s="702" t="str">
        <f>Translations!$C$530</f>
        <v>Type of instrument (carbon pricing)</v>
      </c>
      <c r="AN25" s="768" t="str">
        <f>Translations!$C$532</f>
        <v>Share of total embedded emissions covered by the carbon price</v>
      </c>
      <c r="AO25" s="1453" t="str">
        <f>Translations!$C$608</f>
        <v>Embedded emissions covered by the carbon price</v>
      </c>
      <c r="AP25" s="1454"/>
      <c r="AQ25" s="768" t="str">
        <f>Translations!$C$534</f>
        <v>Currency</v>
      </c>
      <c r="AR25" s="1453" t="str">
        <f>Translations!$C$347</f>
        <v>Carbon price (CP) due (per produced t or MWh)</v>
      </c>
      <c r="AS25" s="1454"/>
      <c r="AT25" s="768" t="str">
        <f>Translations!$C$537</f>
        <v>Type of rebate</v>
      </c>
      <c r="AU25" s="768" t="str">
        <f>Translations!$C$539</f>
        <v>Share of embedded emissions covered by the rebate</v>
      </c>
      <c r="AV25" s="1453" t="str">
        <f>Translations!$C$609</f>
        <v>Embedded emissions covered by rebate</v>
      </c>
      <c r="AW25" s="1454"/>
      <c r="AX25" s="1453" t="str">
        <f>Translations!$C$1872</f>
        <v>Amount of rebate (per produced t or MWh)</v>
      </c>
      <c r="AY25" s="1454"/>
      <c r="AZ25" s="1453" t="str">
        <f>Translations!$C$353</f>
        <v>Result: Effective CP due (per produced t or MWh)</v>
      </c>
      <c r="BA25" s="1454"/>
      <c r="BC25" s="276"/>
      <c r="BD25" s="156"/>
      <c r="BE25" s="156"/>
      <c r="BF25" s="156"/>
      <c r="BG25" s="156"/>
    </row>
    <row r="26" spans="1:59" ht="12.75" customHeight="1" x14ac:dyDescent="0.2">
      <c r="B26" s="277"/>
      <c r="C26" s="777">
        <v>1</v>
      </c>
      <c r="D26" s="765" t="str">
        <f>IF(Summary_Products!D10="","",Summary_Products!D10)</f>
        <v/>
      </c>
      <c r="E26" s="420" t="str">
        <f>IF(Summary_Products!E10="","",INDEX(Translations!$C:$C,MATCH(Summary_Products!E10,Translations!$B:$B,0)))</f>
        <v/>
      </c>
      <c r="F26" s="778" t="str">
        <f>IF(Summary_Products!F10="","",Summary_Products!F10)</f>
        <v/>
      </c>
      <c r="G26" s="765" t="str">
        <f>IF(F26="","",INDEX(Parameters_CNCodes!$H$4:$H$572,MATCH(F26,CNCodes_ListKey,0)))</f>
        <v/>
      </c>
      <c r="H26" s="765" t="str">
        <f>IF(Summary_Products!H10="","",Summary_Products!H10)</f>
        <v/>
      </c>
      <c r="I26" s="779" t="str">
        <f>IF(Summary_Products!I10="","",Summary_Products!I10)</f>
        <v/>
      </c>
      <c r="J26" s="779" t="str">
        <f>IF(Summary_Products!J10="","",Summary_Products!J10)</f>
        <v/>
      </c>
      <c r="K26" s="779" t="str">
        <f>IF(Summary_Products!K10="","",Summary_Products!K10)</f>
        <v/>
      </c>
      <c r="L26" s="779" t="str">
        <f>IF(Summary_Products!L10="","",Summary_Products!L10)</f>
        <v/>
      </c>
      <c r="M26" s="780" t="str">
        <f>IF(Summary_Products!M10="","",Summary_Products!M10)</f>
        <v/>
      </c>
      <c r="N26" s="779" t="str">
        <f>IF(Summary_Products!N10="","",Summary_Products!N10)</f>
        <v/>
      </c>
      <c r="O26" s="779" t="str">
        <f>IF(Summary_Products!O10="","",Summary_Products!O10)</f>
        <v/>
      </c>
      <c r="P26" s="779" t="str">
        <f>IF(O26="","",IF(O26=0,0,J26/O26))</f>
        <v/>
      </c>
      <c r="Q26" s="155" t="str">
        <f>IF(Summary_Products!P10="","",INDEX(Translations!$C:$C,MATCH(Summary_Products!P10,Translations!$B:$B,0)))</f>
        <v/>
      </c>
      <c r="R26" s="155" t="str">
        <f>IF(Summary_Products!Q10="","",Summary_Products!Q10)</f>
        <v/>
      </c>
      <c r="S26" s="614" t="str">
        <f>IF(Summary_Products!R10="","",Summary_Products!R10)</f>
        <v/>
      </c>
      <c r="T26" s="614" t="str">
        <f>IF(Summary_Products!S10="","",Summary_Products!S10)</f>
        <v/>
      </c>
      <c r="U26" s="614" t="str">
        <f>IF(Summary_Products!T10="","",Summary_Products!T10)</f>
        <v/>
      </c>
      <c r="V26" s="614" t="str">
        <f>IF(Summary_Products!U10="","",Summary_Products!U10)</f>
        <v/>
      </c>
      <c r="W26" s="614" t="str">
        <f>IF(Summary_Products!V10="","",Summary_Products!V10)</f>
        <v/>
      </c>
      <c r="X26" s="614" t="str">
        <f>IF(Summary_Products!W10="","",Summary_Products!W10)</f>
        <v/>
      </c>
      <c r="Y26" s="614" t="str">
        <f>IF(Summary_Products!X10="","",Summary_Products!X10)</f>
        <v/>
      </c>
      <c r="Z26" s="614" t="str">
        <f>IF(Summary_Products!Y10="","",Summary_Products!Y10)</f>
        <v/>
      </c>
      <c r="AA26" s="614" t="str">
        <f>IF(Summary_Products!Z10="","",Summary_Products!Z10)</f>
        <v/>
      </c>
      <c r="AB26" s="614" t="str">
        <f>IF(Summary_Products!AA10="","",Summary_Products!AA10)</f>
        <v/>
      </c>
      <c r="AC26" s="614" t="str">
        <f>IF(Summary_Products!AB10="","",Summary_Products!AB10)</f>
        <v/>
      </c>
      <c r="AD26" s="614" t="str">
        <f>IF(Summary_Products!AC10="","",Summary_Products!AC10)</f>
        <v/>
      </c>
      <c r="AE26" s="614" t="str">
        <f>IF(Summary_Products!AD10="","",Summary_Products!AD10)</f>
        <v/>
      </c>
      <c r="AF26" s="614" t="str">
        <f>IF(Summary_Products!AE10="","",Summary_Products!AE10)</f>
        <v/>
      </c>
      <c r="AG26" s="614" t="str">
        <f>IF(Summary_Products!AF10="","",Summary_Products!AF10)</f>
        <v/>
      </c>
      <c r="AH26" s="614" t="str">
        <f>IF(Summary_Products!AG10="","",Summary_Products!AG10)</f>
        <v/>
      </c>
      <c r="AI26" s="614" t="str">
        <f>IF(Summary_Products!AH10="","",Summary_Products!AH10)</f>
        <v/>
      </c>
      <c r="AJ26" s="614" t="str">
        <f>IF(Summary_Products!AI10="","",Summary_Products!AI10)</f>
        <v/>
      </c>
      <c r="AK26" s="614" t="str">
        <f>IF(Summary_Products!AJ10="","",Summary_Products!AJ10)</f>
        <v/>
      </c>
      <c r="AL26" s="614" t="str">
        <f>IF(Summary_Products!AK10="","",Summary_Products!AK10)</f>
        <v/>
      </c>
      <c r="AM26" s="420" t="str">
        <f>IF(Summary_Products!AL10="","",INDEX(Translations!$C:$C,MATCH(Summary_Products!AL10,Translations!$B:$B,0)))</f>
        <v/>
      </c>
      <c r="AN26" s="614" t="str">
        <f>IF(Summary_Products!AM10="","",Summary_Products!AM10)</f>
        <v/>
      </c>
      <c r="AO26" s="459" t="str">
        <f>IF(Summary_Products!AN10="","",Summary_Products!AN10)</f>
        <v/>
      </c>
      <c r="AP26" s="458" t="str">
        <f>IF(Summary_Products!AO10="","",Summary_Products!AO10)</f>
        <v/>
      </c>
      <c r="AQ26" s="155" t="str">
        <f>IF(Summary_Products!AP10="","",Summary_Products!AP10)</f>
        <v/>
      </c>
      <c r="AR26" s="460" t="str">
        <f>IF(Summary_Products!AR10="","",Summary_Products!AR10)</f>
        <v/>
      </c>
      <c r="AS26" s="457" t="str">
        <f>IF(Summary_Products!AS10="","",Summary_Products!AS10)</f>
        <v/>
      </c>
      <c r="AT26" s="420" t="str">
        <f>IF(Summary_Products!AT10="","",INDEX(Translations!$C:$C,MATCH(Summary_Products!AT10,Translations!$B:$B,0)))</f>
        <v/>
      </c>
      <c r="AU26" s="614" t="str">
        <f>IF(Summary_Products!AU10="","",Summary_Products!AU10)</f>
        <v/>
      </c>
      <c r="AV26" s="459" t="str">
        <f>IF(Summary_Products!AV10="","",Summary_Products!AV10)</f>
        <v/>
      </c>
      <c r="AW26" s="458" t="str">
        <f>IF(Summary_Products!AW10="","",Summary_Products!AW10)</f>
        <v/>
      </c>
      <c r="AX26" s="460" t="str">
        <f>IF(Summary_Products!AX10="","",Summary_Products!AX10)</f>
        <v/>
      </c>
      <c r="AY26" s="457" t="str">
        <f>IF(Summary_Products!AY10="","",Summary_Products!AY10)</f>
        <v/>
      </c>
      <c r="AZ26" s="460" t="str">
        <f>IF(Summary_Products!AZ10="","",Summary_Products!AZ10)</f>
        <v/>
      </c>
      <c r="BA26" s="456" t="str">
        <f>IF(Summary_Products!BA10="","",Summary_Products!BA10)</f>
        <v/>
      </c>
      <c r="BD26" s="156"/>
      <c r="BE26" s="156"/>
      <c r="BF26" s="156"/>
      <c r="BG26" s="156"/>
    </row>
    <row r="27" spans="1:59"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782" t="str">
        <f t="shared" ref="P27:P90" si="0">IF(O27="","",IF(O27=0,0,J27/O27))</f>
        <v/>
      </c>
      <c r="Q27" s="160" t="str">
        <f>IF(Summary_Products!P11="","",INDEX(Translations!$C:$C,MATCH(Summary_Products!P11,Translations!$B:$B,0)))</f>
        <v/>
      </c>
      <c r="R27" s="160" t="str">
        <f>IF(Summary_Products!Q11="","",Summary_Products!Q11)</f>
        <v/>
      </c>
      <c r="S27" s="615" t="str">
        <f>IF(Summary_Products!R11="","",Summary_Products!R11)</f>
        <v/>
      </c>
      <c r="T27" s="615" t="str">
        <f>IF(Summary_Products!S11="","",Summary_Products!S11)</f>
        <v/>
      </c>
      <c r="U27" s="615" t="str">
        <f>IF(Summary_Products!T11="","",Summary_Products!T11)</f>
        <v/>
      </c>
      <c r="V27" s="615" t="str">
        <f>IF(Summary_Products!U11="","",Summary_Products!U11)</f>
        <v/>
      </c>
      <c r="W27" s="615" t="str">
        <f>IF(Summary_Products!V11="","",Summary_Products!V11)</f>
        <v/>
      </c>
      <c r="X27" s="615" t="str">
        <f>IF(Summary_Products!W11="","",Summary_Products!W11)</f>
        <v/>
      </c>
      <c r="Y27" s="615" t="str">
        <f>IF(Summary_Products!X11="","",Summary_Products!X11)</f>
        <v/>
      </c>
      <c r="Z27" s="615" t="str">
        <f>IF(Summary_Products!Y11="","",Summary_Products!Y11)</f>
        <v/>
      </c>
      <c r="AA27" s="615" t="str">
        <f>IF(Summary_Products!Z11="","",Summary_Products!Z11)</f>
        <v/>
      </c>
      <c r="AB27" s="615" t="str">
        <f>IF(Summary_Products!AA11="","",Summary_Products!AA11)</f>
        <v/>
      </c>
      <c r="AC27" s="615" t="str">
        <f>IF(Summary_Products!AB11="","",Summary_Products!AB11)</f>
        <v/>
      </c>
      <c r="AD27" s="615" t="str">
        <f>IF(Summary_Products!AC11="","",Summary_Products!AC11)</f>
        <v/>
      </c>
      <c r="AE27" s="615" t="str">
        <f>IF(Summary_Products!AD11="","",Summary_Products!AD11)</f>
        <v/>
      </c>
      <c r="AF27" s="615" t="str">
        <f>IF(Summary_Products!AE11="","",Summary_Products!AE11)</f>
        <v/>
      </c>
      <c r="AG27" s="615" t="str">
        <f>IF(Summary_Products!AF11="","",Summary_Products!AF11)</f>
        <v/>
      </c>
      <c r="AH27" s="615" t="str">
        <f>IF(Summary_Products!AG11="","",Summary_Products!AG11)</f>
        <v/>
      </c>
      <c r="AI27" s="615" t="str">
        <f>IF(Summary_Products!AH11="","",Summary_Products!AH11)</f>
        <v/>
      </c>
      <c r="AJ27" s="615" t="str">
        <f>IF(Summary_Products!AI11="","",Summary_Products!AI11)</f>
        <v/>
      </c>
      <c r="AK27" s="615" t="str">
        <f>IF(Summary_Products!AJ11="","",Summary_Products!AJ11)</f>
        <v/>
      </c>
      <c r="AL27" s="615" t="str">
        <f>IF(Summary_Products!AK11="","",Summary_Products!AK11)</f>
        <v/>
      </c>
      <c r="AM27" s="421" t="str">
        <f>IF(Summary_Products!AL11="","",INDEX(Translations!$C:$C,MATCH(Summary_Products!AL11,Translations!$B:$B,0)))</f>
        <v/>
      </c>
      <c r="AN27" s="615" t="str">
        <f>IF(Summary_Products!AM11="","",Summary_Products!AM11)</f>
        <v/>
      </c>
      <c r="AO27" s="473" t="str">
        <f>IF(Summary_Products!AN11="","",Summary_Products!AN11)</f>
        <v/>
      </c>
      <c r="AP27" s="474" t="str">
        <f>IF(Summary_Products!AO11="","",Summary_Products!AO11)</f>
        <v/>
      </c>
      <c r="AQ27" s="160" t="str">
        <f>IF(Summary_Products!AP11="","",Summary_Products!AP11)</f>
        <v/>
      </c>
      <c r="AR27" s="477" t="str">
        <f>IF(Summary_Products!AR11="","",Summary_Products!AR11)</f>
        <v/>
      </c>
      <c r="AS27" s="474" t="str">
        <f>IF(Summary_Products!AS11="","",Summary_Products!AS11)</f>
        <v/>
      </c>
      <c r="AT27" s="421" t="str">
        <f>IF(Summary_Products!AT11="","",INDEX(Translations!$C:$C,MATCH(Summary_Products!AT11,Translations!$B:$B,0)))</f>
        <v/>
      </c>
      <c r="AU27" s="615" t="str">
        <f>IF(Summary_Products!AU11="","",Summary_Products!AU11)</f>
        <v/>
      </c>
      <c r="AV27" s="473" t="str">
        <f>IF(Summary_Products!AV11="","",Summary_Products!AV11)</f>
        <v/>
      </c>
      <c r="AW27" s="474" t="str">
        <f>IF(Summary_Products!AW11="","",Summary_Products!AW11)</f>
        <v/>
      </c>
      <c r="AX27" s="477" t="str">
        <f>IF(Summary_Products!AX11="","",Summary_Products!AX11)</f>
        <v/>
      </c>
      <c r="AY27" s="474" t="str">
        <f>IF(Summary_Products!AY11="","",Summary_Products!AY11)</f>
        <v/>
      </c>
      <c r="AZ27" s="477" t="str">
        <f>IF(Summary_Products!AZ11="","",Summary_Products!AZ11)</f>
        <v/>
      </c>
      <c r="BA27" s="478" t="str">
        <f>IF(Summary_Products!BA11="","",Summary_Products!BA11)</f>
        <v/>
      </c>
      <c r="BD27" s="156"/>
      <c r="BE27" s="156"/>
      <c r="BF27" s="156"/>
      <c r="BG27" s="156"/>
    </row>
    <row r="28" spans="1:59"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782" t="str">
        <f t="shared" si="0"/>
        <v/>
      </c>
      <c r="Q28" s="160" t="str">
        <f>IF(Summary_Products!P12="","",INDEX(Translations!$C:$C,MATCH(Summary_Products!P12,Translations!$B:$B,0)))</f>
        <v/>
      </c>
      <c r="R28" s="160" t="str">
        <f>IF(Summary_Products!Q12="","",Summary_Products!Q12)</f>
        <v/>
      </c>
      <c r="S28" s="615" t="str">
        <f>IF(Summary_Products!R12="","",Summary_Products!R12)</f>
        <v/>
      </c>
      <c r="T28" s="615" t="str">
        <f>IF(Summary_Products!S12="","",Summary_Products!S12)</f>
        <v/>
      </c>
      <c r="U28" s="615" t="str">
        <f>IF(Summary_Products!T12="","",Summary_Products!T12)</f>
        <v/>
      </c>
      <c r="V28" s="615" t="str">
        <f>IF(Summary_Products!U12="","",Summary_Products!U12)</f>
        <v/>
      </c>
      <c r="W28" s="615" t="str">
        <f>IF(Summary_Products!V12="","",Summary_Products!V12)</f>
        <v/>
      </c>
      <c r="X28" s="615" t="str">
        <f>IF(Summary_Products!W12="","",Summary_Products!W12)</f>
        <v/>
      </c>
      <c r="Y28" s="615" t="str">
        <f>IF(Summary_Products!X12="","",Summary_Products!X12)</f>
        <v/>
      </c>
      <c r="Z28" s="615" t="str">
        <f>IF(Summary_Products!Y12="","",Summary_Products!Y12)</f>
        <v/>
      </c>
      <c r="AA28" s="615" t="str">
        <f>IF(Summary_Products!Z12="","",Summary_Products!Z12)</f>
        <v/>
      </c>
      <c r="AB28" s="615" t="str">
        <f>IF(Summary_Products!AA12="","",Summary_Products!AA12)</f>
        <v/>
      </c>
      <c r="AC28" s="615" t="str">
        <f>IF(Summary_Products!AB12="","",Summary_Products!AB12)</f>
        <v/>
      </c>
      <c r="AD28" s="615" t="str">
        <f>IF(Summary_Products!AC12="","",Summary_Products!AC12)</f>
        <v/>
      </c>
      <c r="AE28" s="615" t="str">
        <f>IF(Summary_Products!AD12="","",Summary_Products!AD12)</f>
        <v/>
      </c>
      <c r="AF28" s="615" t="str">
        <f>IF(Summary_Products!AE12="","",Summary_Products!AE12)</f>
        <v/>
      </c>
      <c r="AG28" s="615" t="str">
        <f>IF(Summary_Products!AF12="","",Summary_Products!AF12)</f>
        <v/>
      </c>
      <c r="AH28" s="615" t="str">
        <f>IF(Summary_Products!AG12="","",Summary_Products!AG12)</f>
        <v/>
      </c>
      <c r="AI28" s="615" t="str">
        <f>IF(Summary_Products!AH12="","",Summary_Products!AH12)</f>
        <v/>
      </c>
      <c r="AJ28" s="615" t="str">
        <f>IF(Summary_Products!AI12="","",Summary_Products!AI12)</f>
        <v/>
      </c>
      <c r="AK28" s="615" t="str">
        <f>IF(Summary_Products!AJ12="","",Summary_Products!AJ12)</f>
        <v/>
      </c>
      <c r="AL28" s="615" t="str">
        <f>IF(Summary_Products!AK12="","",Summary_Products!AK12)</f>
        <v/>
      </c>
      <c r="AM28" s="421" t="str">
        <f>IF(Summary_Products!AL12="","",INDEX(Translations!$C:$C,MATCH(Summary_Products!AL12,Translations!$B:$B,0)))</f>
        <v/>
      </c>
      <c r="AN28" s="615" t="str">
        <f>IF(Summary_Products!AM12="","",Summary_Products!AM12)</f>
        <v/>
      </c>
      <c r="AO28" s="473" t="str">
        <f>IF(Summary_Products!AN12="","",Summary_Products!AN12)</f>
        <v/>
      </c>
      <c r="AP28" s="474" t="str">
        <f>IF(Summary_Products!AO12="","",Summary_Products!AO12)</f>
        <v/>
      </c>
      <c r="AQ28" s="160" t="str">
        <f>IF(Summary_Products!AP12="","",Summary_Products!AP12)</f>
        <v/>
      </c>
      <c r="AR28" s="477" t="str">
        <f>IF(Summary_Products!AR12="","",Summary_Products!AR12)</f>
        <v/>
      </c>
      <c r="AS28" s="474" t="str">
        <f>IF(Summary_Products!AS12="","",Summary_Products!AS12)</f>
        <v/>
      </c>
      <c r="AT28" s="421" t="str">
        <f>IF(Summary_Products!AT12="","",INDEX(Translations!$C:$C,MATCH(Summary_Products!AT12,Translations!$B:$B,0)))</f>
        <v/>
      </c>
      <c r="AU28" s="615" t="str">
        <f>IF(Summary_Products!AU12="","",Summary_Products!AU12)</f>
        <v/>
      </c>
      <c r="AV28" s="473" t="str">
        <f>IF(Summary_Products!AV12="","",Summary_Products!AV12)</f>
        <v/>
      </c>
      <c r="AW28" s="474" t="str">
        <f>IF(Summary_Products!AW12="","",Summary_Products!AW12)</f>
        <v/>
      </c>
      <c r="AX28" s="477" t="str">
        <f>IF(Summary_Products!AX12="","",Summary_Products!AX12)</f>
        <v/>
      </c>
      <c r="AY28" s="474" t="str">
        <f>IF(Summary_Products!AY12="","",Summary_Products!AY12)</f>
        <v/>
      </c>
      <c r="AZ28" s="477" t="str">
        <f>IF(Summary_Products!AZ12="","",Summary_Products!AZ12)</f>
        <v/>
      </c>
      <c r="BA28" s="478" t="str">
        <f>IF(Summary_Products!BA12="","",Summary_Products!BA12)</f>
        <v/>
      </c>
      <c r="BD28" s="156"/>
      <c r="BE28" s="156"/>
      <c r="BF28" s="156"/>
      <c r="BG28" s="156"/>
    </row>
    <row r="29" spans="1:59"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782" t="str">
        <f t="shared" si="0"/>
        <v/>
      </c>
      <c r="Q29" s="160" t="str">
        <f>IF(Summary_Products!P13="","",INDEX(Translations!$C:$C,MATCH(Summary_Products!P13,Translations!$B:$B,0)))</f>
        <v/>
      </c>
      <c r="R29" s="160" t="str">
        <f>IF(Summary_Products!Q13="","",Summary_Products!Q13)</f>
        <v/>
      </c>
      <c r="S29" s="615" t="str">
        <f>IF(Summary_Products!R13="","",Summary_Products!R13)</f>
        <v/>
      </c>
      <c r="T29" s="615" t="str">
        <f>IF(Summary_Products!S13="","",Summary_Products!S13)</f>
        <v/>
      </c>
      <c r="U29" s="615" t="str">
        <f>IF(Summary_Products!T13="","",Summary_Products!T13)</f>
        <v/>
      </c>
      <c r="V29" s="615" t="str">
        <f>IF(Summary_Products!U13="","",Summary_Products!U13)</f>
        <v/>
      </c>
      <c r="W29" s="615" t="str">
        <f>IF(Summary_Products!V13="","",Summary_Products!V13)</f>
        <v/>
      </c>
      <c r="X29" s="615" t="str">
        <f>IF(Summary_Products!W13="","",Summary_Products!W13)</f>
        <v/>
      </c>
      <c r="Y29" s="615" t="str">
        <f>IF(Summary_Products!X13="","",Summary_Products!X13)</f>
        <v/>
      </c>
      <c r="Z29" s="615" t="str">
        <f>IF(Summary_Products!Y13="","",Summary_Products!Y13)</f>
        <v/>
      </c>
      <c r="AA29" s="615" t="str">
        <f>IF(Summary_Products!Z13="","",Summary_Products!Z13)</f>
        <v/>
      </c>
      <c r="AB29" s="615" t="str">
        <f>IF(Summary_Products!AA13="","",Summary_Products!AA13)</f>
        <v/>
      </c>
      <c r="AC29" s="615" t="str">
        <f>IF(Summary_Products!AB13="","",Summary_Products!AB13)</f>
        <v/>
      </c>
      <c r="AD29" s="615" t="str">
        <f>IF(Summary_Products!AC13="","",Summary_Products!AC13)</f>
        <v/>
      </c>
      <c r="AE29" s="615" t="str">
        <f>IF(Summary_Products!AD13="","",Summary_Products!AD13)</f>
        <v/>
      </c>
      <c r="AF29" s="615" t="str">
        <f>IF(Summary_Products!AE13="","",Summary_Products!AE13)</f>
        <v/>
      </c>
      <c r="AG29" s="615" t="str">
        <f>IF(Summary_Products!AF13="","",Summary_Products!AF13)</f>
        <v/>
      </c>
      <c r="AH29" s="615" t="str">
        <f>IF(Summary_Products!AG13="","",Summary_Products!AG13)</f>
        <v/>
      </c>
      <c r="AI29" s="615" t="str">
        <f>IF(Summary_Products!AH13="","",Summary_Products!AH13)</f>
        <v/>
      </c>
      <c r="AJ29" s="615" t="str">
        <f>IF(Summary_Products!AI13="","",Summary_Products!AI13)</f>
        <v/>
      </c>
      <c r="AK29" s="615" t="str">
        <f>IF(Summary_Products!AJ13="","",Summary_Products!AJ13)</f>
        <v/>
      </c>
      <c r="AL29" s="615" t="str">
        <f>IF(Summary_Products!AK13="","",Summary_Products!AK13)</f>
        <v/>
      </c>
      <c r="AM29" s="421" t="str">
        <f>IF(Summary_Products!AL13="","",INDEX(Translations!$C:$C,MATCH(Summary_Products!AL13,Translations!$B:$B,0)))</f>
        <v/>
      </c>
      <c r="AN29" s="615" t="str">
        <f>IF(Summary_Products!AM13="","",Summary_Products!AM13)</f>
        <v/>
      </c>
      <c r="AO29" s="473" t="str">
        <f>IF(Summary_Products!AN13="","",Summary_Products!AN13)</f>
        <v/>
      </c>
      <c r="AP29" s="474" t="str">
        <f>IF(Summary_Products!AO13="","",Summary_Products!AO13)</f>
        <v/>
      </c>
      <c r="AQ29" s="160" t="str">
        <f>IF(Summary_Products!AP13="","",Summary_Products!AP13)</f>
        <v/>
      </c>
      <c r="AR29" s="477" t="str">
        <f>IF(Summary_Products!AR13="","",Summary_Products!AR13)</f>
        <v/>
      </c>
      <c r="AS29" s="474" t="str">
        <f>IF(Summary_Products!AS13="","",Summary_Products!AS13)</f>
        <v/>
      </c>
      <c r="AT29" s="421" t="str">
        <f>IF(Summary_Products!AT13="","",INDEX(Translations!$C:$C,MATCH(Summary_Products!AT13,Translations!$B:$B,0)))</f>
        <v/>
      </c>
      <c r="AU29" s="615" t="str">
        <f>IF(Summary_Products!AU13="","",Summary_Products!AU13)</f>
        <v/>
      </c>
      <c r="AV29" s="473" t="str">
        <f>IF(Summary_Products!AV13="","",Summary_Products!AV13)</f>
        <v/>
      </c>
      <c r="AW29" s="474" t="str">
        <f>IF(Summary_Products!AW13="","",Summary_Products!AW13)</f>
        <v/>
      </c>
      <c r="AX29" s="477" t="str">
        <f>IF(Summary_Products!AX13="","",Summary_Products!AX13)</f>
        <v/>
      </c>
      <c r="AY29" s="474" t="str">
        <f>IF(Summary_Products!AY13="","",Summary_Products!AY13)</f>
        <v/>
      </c>
      <c r="AZ29" s="477" t="str">
        <f>IF(Summary_Products!AZ13="","",Summary_Products!AZ13)</f>
        <v/>
      </c>
      <c r="BA29" s="478" t="str">
        <f>IF(Summary_Products!BA13="","",Summary_Products!BA13)</f>
        <v/>
      </c>
      <c r="BD29" s="156"/>
      <c r="BE29" s="156"/>
      <c r="BF29" s="156"/>
      <c r="BG29" s="156"/>
    </row>
    <row r="30" spans="1:59"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782" t="str">
        <f t="shared" si="0"/>
        <v/>
      </c>
      <c r="Q30" s="160" t="str">
        <f>IF(Summary_Products!P14="","",INDEX(Translations!$C:$C,MATCH(Summary_Products!P14,Translations!$B:$B,0)))</f>
        <v/>
      </c>
      <c r="R30" s="160" t="str">
        <f>IF(Summary_Products!Q14="","",Summary_Products!Q14)</f>
        <v/>
      </c>
      <c r="S30" s="615" t="str">
        <f>IF(Summary_Products!R14="","",Summary_Products!R14)</f>
        <v/>
      </c>
      <c r="T30" s="615" t="str">
        <f>IF(Summary_Products!S14="","",Summary_Products!S14)</f>
        <v/>
      </c>
      <c r="U30" s="615" t="str">
        <f>IF(Summary_Products!T14="","",Summary_Products!T14)</f>
        <v/>
      </c>
      <c r="V30" s="615" t="str">
        <f>IF(Summary_Products!U14="","",Summary_Products!U14)</f>
        <v/>
      </c>
      <c r="W30" s="615" t="str">
        <f>IF(Summary_Products!V14="","",Summary_Products!V14)</f>
        <v/>
      </c>
      <c r="X30" s="615" t="str">
        <f>IF(Summary_Products!W14="","",Summary_Products!W14)</f>
        <v/>
      </c>
      <c r="Y30" s="615" t="str">
        <f>IF(Summary_Products!X14="","",Summary_Products!X14)</f>
        <v/>
      </c>
      <c r="Z30" s="615" t="str">
        <f>IF(Summary_Products!Y14="","",Summary_Products!Y14)</f>
        <v/>
      </c>
      <c r="AA30" s="615" t="str">
        <f>IF(Summary_Products!Z14="","",Summary_Products!Z14)</f>
        <v/>
      </c>
      <c r="AB30" s="615" t="str">
        <f>IF(Summary_Products!AA14="","",Summary_Products!AA14)</f>
        <v/>
      </c>
      <c r="AC30" s="615" t="str">
        <f>IF(Summary_Products!AB14="","",Summary_Products!AB14)</f>
        <v/>
      </c>
      <c r="AD30" s="615" t="str">
        <f>IF(Summary_Products!AC14="","",Summary_Products!AC14)</f>
        <v/>
      </c>
      <c r="AE30" s="615" t="str">
        <f>IF(Summary_Products!AD14="","",Summary_Products!AD14)</f>
        <v/>
      </c>
      <c r="AF30" s="615" t="str">
        <f>IF(Summary_Products!AE14="","",Summary_Products!AE14)</f>
        <v/>
      </c>
      <c r="AG30" s="615" t="str">
        <f>IF(Summary_Products!AF14="","",Summary_Products!AF14)</f>
        <v/>
      </c>
      <c r="AH30" s="615" t="str">
        <f>IF(Summary_Products!AG14="","",Summary_Products!AG14)</f>
        <v/>
      </c>
      <c r="AI30" s="615" t="str">
        <f>IF(Summary_Products!AH14="","",Summary_Products!AH14)</f>
        <v/>
      </c>
      <c r="AJ30" s="615" t="str">
        <f>IF(Summary_Products!AI14="","",Summary_Products!AI14)</f>
        <v/>
      </c>
      <c r="AK30" s="615" t="str">
        <f>IF(Summary_Products!AJ14="","",Summary_Products!AJ14)</f>
        <v/>
      </c>
      <c r="AL30" s="615" t="str">
        <f>IF(Summary_Products!AK14="","",Summary_Products!AK14)</f>
        <v/>
      </c>
      <c r="AM30" s="421" t="str">
        <f>IF(Summary_Products!AL14="","",INDEX(Translations!$C:$C,MATCH(Summary_Products!AL14,Translations!$B:$B,0)))</f>
        <v/>
      </c>
      <c r="AN30" s="615" t="str">
        <f>IF(Summary_Products!AM14="","",Summary_Products!AM14)</f>
        <v/>
      </c>
      <c r="AO30" s="473" t="str">
        <f>IF(Summary_Products!AN14="","",Summary_Products!AN14)</f>
        <v/>
      </c>
      <c r="AP30" s="474" t="str">
        <f>IF(Summary_Products!AO14="","",Summary_Products!AO14)</f>
        <v/>
      </c>
      <c r="AQ30" s="160" t="str">
        <f>IF(Summary_Products!AP14="","",Summary_Products!AP14)</f>
        <v/>
      </c>
      <c r="AR30" s="477" t="str">
        <f>IF(Summary_Products!AR14="","",Summary_Products!AR14)</f>
        <v/>
      </c>
      <c r="AS30" s="474" t="str">
        <f>IF(Summary_Products!AS14="","",Summary_Products!AS14)</f>
        <v/>
      </c>
      <c r="AT30" s="421" t="str">
        <f>IF(Summary_Products!AT14="","",INDEX(Translations!$C:$C,MATCH(Summary_Products!AT14,Translations!$B:$B,0)))</f>
        <v/>
      </c>
      <c r="AU30" s="615" t="str">
        <f>IF(Summary_Products!AU14="","",Summary_Products!AU14)</f>
        <v/>
      </c>
      <c r="AV30" s="473" t="str">
        <f>IF(Summary_Products!AV14="","",Summary_Products!AV14)</f>
        <v/>
      </c>
      <c r="AW30" s="474" t="str">
        <f>IF(Summary_Products!AW14="","",Summary_Products!AW14)</f>
        <v/>
      </c>
      <c r="AX30" s="477" t="str">
        <f>IF(Summary_Products!AX14="","",Summary_Products!AX14)</f>
        <v/>
      </c>
      <c r="AY30" s="474" t="str">
        <f>IF(Summary_Products!AY14="","",Summary_Products!AY14)</f>
        <v/>
      </c>
      <c r="AZ30" s="477" t="str">
        <f>IF(Summary_Products!AZ14="","",Summary_Products!AZ14)</f>
        <v/>
      </c>
      <c r="BA30" s="478" t="str">
        <f>IF(Summary_Products!BA14="","",Summary_Products!BA14)</f>
        <v/>
      </c>
      <c r="BD30" s="156"/>
      <c r="BE30" s="156"/>
      <c r="BF30" s="156"/>
      <c r="BG30" s="156"/>
    </row>
    <row r="31" spans="1:59"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782" t="str">
        <f t="shared" si="0"/>
        <v/>
      </c>
      <c r="Q31" s="160" t="str">
        <f>IF(Summary_Products!P15="","",INDEX(Translations!$C:$C,MATCH(Summary_Products!P15,Translations!$B:$B,0)))</f>
        <v/>
      </c>
      <c r="R31" s="160" t="str">
        <f>IF(Summary_Products!Q15="","",Summary_Products!Q15)</f>
        <v/>
      </c>
      <c r="S31" s="615" t="str">
        <f>IF(Summary_Products!R15="","",Summary_Products!R15)</f>
        <v/>
      </c>
      <c r="T31" s="615" t="str">
        <f>IF(Summary_Products!S15="","",Summary_Products!S15)</f>
        <v/>
      </c>
      <c r="U31" s="615" t="str">
        <f>IF(Summary_Products!T15="","",Summary_Products!T15)</f>
        <v/>
      </c>
      <c r="V31" s="615" t="str">
        <f>IF(Summary_Products!U15="","",Summary_Products!U15)</f>
        <v/>
      </c>
      <c r="W31" s="615" t="str">
        <f>IF(Summary_Products!V15="","",Summary_Products!V15)</f>
        <v/>
      </c>
      <c r="X31" s="615" t="str">
        <f>IF(Summary_Products!W15="","",Summary_Products!W15)</f>
        <v/>
      </c>
      <c r="Y31" s="615" t="str">
        <f>IF(Summary_Products!X15="","",Summary_Products!X15)</f>
        <v/>
      </c>
      <c r="Z31" s="615" t="str">
        <f>IF(Summary_Products!Y15="","",Summary_Products!Y15)</f>
        <v/>
      </c>
      <c r="AA31" s="615" t="str">
        <f>IF(Summary_Products!Z15="","",Summary_Products!Z15)</f>
        <v/>
      </c>
      <c r="AB31" s="615" t="str">
        <f>IF(Summary_Products!AA15="","",Summary_Products!AA15)</f>
        <v/>
      </c>
      <c r="AC31" s="615" t="str">
        <f>IF(Summary_Products!AB15="","",Summary_Products!AB15)</f>
        <v/>
      </c>
      <c r="AD31" s="615" t="str">
        <f>IF(Summary_Products!AC15="","",Summary_Products!AC15)</f>
        <v/>
      </c>
      <c r="AE31" s="615" t="str">
        <f>IF(Summary_Products!AD15="","",Summary_Products!AD15)</f>
        <v/>
      </c>
      <c r="AF31" s="615" t="str">
        <f>IF(Summary_Products!AE15="","",Summary_Products!AE15)</f>
        <v/>
      </c>
      <c r="AG31" s="615" t="str">
        <f>IF(Summary_Products!AF15="","",Summary_Products!AF15)</f>
        <v/>
      </c>
      <c r="AH31" s="615" t="str">
        <f>IF(Summary_Products!AG15="","",Summary_Products!AG15)</f>
        <v/>
      </c>
      <c r="AI31" s="615" t="str">
        <f>IF(Summary_Products!AH15="","",Summary_Products!AH15)</f>
        <v/>
      </c>
      <c r="AJ31" s="615" t="str">
        <f>IF(Summary_Products!AI15="","",Summary_Products!AI15)</f>
        <v/>
      </c>
      <c r="AK31" s="615" t="str">
        <f>IF(Summary_Products!AJ15="","",Summary_Products!AJ15)</f>
        <v/>
      </c>
      <c r="AL31" s="615" t="str">
        <f>IF(Summary_Products!AK15="","",Summary_Products!AK15)</f>
        <v/>
      </c>
      <c r="AM31" s="421" t="str">
        <f>IF(Summary_Products!AL15="","",INDEX(Translations!$C:$C,MATCH(Summary_Products!AL15,Translations!$B:$B,0)))</f>
        <v/>
      </c>
      <c r="AN31" s="615" t="str">
        <f>IF(Summary_Products!AM15="","",Summary_Products!AM15)</f>
        <v/>
      </c>
      <c r="AO31" s="473" t="str">
        <f>IF(Summary_Products!AN15="","",Summary_Products!AN15)</f>
        <v/>
      </c>
      <c r="AP31" s="474" t="str">
        <f>IF(Summary_Products!AO15="","",Summary_Products!AO15)</f>
        <v/>
      </c>
      <c r="AQ31" s="160" t="str">
        <f>IF(Summary_Products!AP15="","",Summary_Products!AP15)</f>
        <v/>
      </c>
      <c r="AR31" s="477" t="str">
        <f>IF(Summary_Products!AR15="","",Summary_Products!AR15)</f>
        <v/>
      </c>
      <c r="AS31" s="474" t="str">
        <f>IF(Summary_Products!AS15="","",Summary_Products!AS15)</f>
        <v/>
      </c>
      <c r="AT31" s="421" t="str">
        <f>IF(Summary_Products!AT15="","",INDEX(Translations!$C:$C,MATCH(Summary_Products!AT15,Translations!$B:$B,0)))</f>
        <v/>
      </c>
      <c r="AU31" s="615" t="str">
        <f>IF(Summary_Products!AU15="","",Summary_Products!AU15)</f>
        <v/>
      </c>
      <c r="AV31" s="473" t="str">
        <f>IF(Summary_Products!AV15="","",Summary_Products!AV15)</f>
        <v/>
      </c>
      <c r="AW31" s="474" t="str">
        <f>IF(Summary_Products!AW15="","",Summary_Products!AW15)</f>
        <v/>
      </c>
      <c r="AX31" s="477" t="str">
        <f>IF(Summary_Products!AX15="","",Summary_Products!AX15)</f>
        <v/>
      </c>
      <c r="AY31" s="474" t="str">
        <f>IF(Summary_Products!AY15="","",Summary_Products!AY15)</f>
        <v/>
      </c>
      <c r="AZ31" s="477" t="str">
        <f>IF(Summary_Products!AZ15="","",Summary_Products!AZ15)</f>
        <v/>
      </c>
      <c r="BA31" s="478" t="str">
        <f>IF(Summary_Products!BA15="","",Summary_Products!BA15)</f>
        <v/>
      </c>
      <c r="BD31" s="156"/>
      <c r="BE31" s="156"/>
      <c r="BF31" s="156"/>
      <c r="BG31" s="156"/>
    </row>
    <row r="32" spans="1:59"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782" t="str">
        <f t="shared" si="0"/>
        <v/>
      </c>
      <c r="Q32" s="160" t="str">
        <f>IF(Summary_Products!P16="","",INDEX(Translations!$C:$C,MATCH(Summary_Products!P16,Translations!$B:$B,0)))</f>
        <v/>
      </c>
      <c r="R32" s="160" t="str">
        <f>IF(Summary_Products!Q16="","",Summary_Products!Q16)</f>
        <v/>
      </c>
      <c r="S32" s="615" t="str">
        <f>IF(Summary_Products!R16="","",Summary_Products!R16)</f>
        <v/>
      </c>
      <c r="T32" s="615" t="str">
        <f>IF(Summary_Products!S16="","",Summary_Products!S16)</f>
        <v/>
      </c>
      <c r="U32" s="615" t="str">
        <f>IF(Summary_Products!T16="","",Summary_Products!T16)</f>
        <v/>
      </c>
      <c r="V32" s="615" t="str">
        <f>IF(Summary_Products!U16="","",Summary_Products!U16)</f>
        <v/>
      </c>
      <c r="W32" s="615" t="str">
        <f>IF(Summary_Products!V16="","",Summary_Products!V16)</f>
        <v/>
      </c>
      <c r="X32" s="615" t="str">
        <f>IF(Summary_Products!W16="","",Summary_Products!W16)</f>
        <v/>
      </c>
      <c r="Y32" s="615" t="str">
        <f>IF(Summary_Products!X16="","",Summary_Products!X16)</f>
        <v/>
      </c>
      <c r="Z32" s="615" t="str">
        <f>IF(Summary_Products!Y16="","",Summary_Products!Y16)</f>
        <v/>
      </c>
      <c r="AA32" s="615" t="str">
        <f>IF(Summary_Products!Z16="","",Summary_Products!Z16)</f>
        <v/>
      </c>
      <c r="AB32" s="615" t="str">
        <f>IF(Summary_Products!AA16="","",Summary_Products!AA16)</f>
        <v/>
      </c>
      <c r="AC32" s="615" t="str">
        <f>IF(Summary_Products!AB16="","",Summary_Products!AB16)</f>
        <v/>
      </c>
      <c r="AD32" s="615" t="str">
        <f>IF(Summary_Products!AC16="","",Summary_Products!AC16)</f>
        <v/>
      </c>
      <c r="AE32" s="615" t="str">
        <f>IF(Summary_Products!AD16="","",Summary_Products!AD16)</f>
        <v/>
      </c>
      <c r="AF32" s="615" t="str">
        <f>IF(Summary_Products!AE16="","",Summary_Products!AE16)</f>
        <v/>
      </c>
      <c r="AG32" s="615" t="str">
        <f>IF(Summary_Products!AF16="","",Summary_Products!AF16)</f>
        <v/>
      </c>
      <c r="AH32" s="615" t="str">
        <f>IF(Summary_Products!AG16="","",Summary_Products!AG16)</f>
        <v/>
      </c>
      <c r="AI32" s="615" t="str">
        <f>IF(Summary_Products!AH16="","",Summary_Products!AH16)</f>
        <v/>
      </c>
      <c r="AJ32" s="615" t="str">
        <f>IF(Summary_Products!AI16="","",Summary_Products!AI16)</f>
        <v/>
      </c>
      <c r="AK32" s="615" t="str">
        <f>IF(Summary_Products!AJ16="","",Summary_Products!AJ16)</f>
        <v/>
      </c>
      <c r="AL32" s="615" t="str">
        <f>IF(Summary_Products!AK16="","",Summary_Products!AK16)</f>
        <v/>
      </c>
      <c r="AM32" s="421" t="str">
        <f>IF(Summary_Products!AL16="","",INDEX(Translations!$C:$C,MATCH(Summary_Products!AL16,Translations!$B:$B,0)))</f>
        <v/>
      </c>
      <c r="AN32" s="615" t="str">
        <f>IF(Summary_Products!AM16="","",Summary_Products!AM16)</f>
        <v/>
      </c>
      <c r="AO32" s="473" t="str">
        <f>IF(Summary_Products!AN16="","",Summary_Products!AN16)</f>
        <v/>
      </c>
      <c r="AP32" s="474" t="str">
        <f>IF(Summary_Products!AO16="","",Summary_Products!AO16)</f>
        <v/>
      </c>
      <c r="AQ32" s="160" t="str">
        <f>IF(Summary_Products!AP16="","",Summary_Products!AP16)</f>
        <v/>
      </c>
      <c r="AR32" s="477" t="str">
        <f>IF(Summary_Products!AR16="","",Summary_Products!AR16)</f>
        <v/>
      </c>
      <c r="AS32" s="474" t="str">
        <f>IF(Summary_Products!AS16="","",Summary_Products!AS16)</f>
        <v/>
      </c>
      <c r="AT32" s="421" t="str">
        <f>IF(Summary_Products!AT16="","",INDEX(Translations!$C:$C,MATCH(Summary_Products!AT16,Translations!$B:$B,0)))</f>
        <v/>
      </c>
      <c r="AU32" s="615" t="str">
        <f>IF(Summary_Products!AU16="","",Summary_Products!AU16)</f>
        <v/>
      </c>
      <c r="AV32" s="473" t="str">
        <f>IF(Summary_Products!AV16="","",Summary_Products!AV16)</f>
        <v/>
      </c>
      <c r="AW32" s="474" t="str">
        <f>IF(Summary_Products!AW16="","",Summary_Products!AW16)</f>
        <v/>
      </c>
      <c r="AX32" s="477" t="str">
        <f>IF(Summary_Products!AX16="","",Summary_Products!AX16)</f>
        <v/>
      </c>
      <c r="AY32" s="474" t="str">
        <f>IF(Summary_Products!AY16="","",Summary_Products!AY16)</f>
        <v/>
      </c>
      <c r="AZ32" s="477" t="str">
        <f>IF(Summary_Products!AZ16="","",Summary_Products!AZ16)</f>
        <v/>
      </c>
      <c r="BA32" s="478" t="str">
        <f>IF(Summary_Products!BA16="","",Summary_Products!BA16)</f>
        <v/>
      </c>
      <c r="BD32" s="156"/>
      <c r="BE32" s="156"/>
      <c r="BF32" s="156"/>
      <c r="BG32" s="156"/>
    </row>
    <row r="33" spans="2:59"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782" t="str">
        <f t="shared" si="0"/>
        <v/>
      </c>
      <c r="Q33" s="160" t="str">
        <f>IF(Summary_Products!P17="","",INDEX(Translations!$C:$C,MATCH(Summary_Products!P17,Translations!$B:$B,0)))</f>
        <v/>
      </c>
      <c r="R33" s="160" t="str">
        <f>IF(Summary_Products!Q17="","",Summary_Products!Q17)</f>
        <v/>
      </c>
      <c r="S33" s="615" t="str">
        <f>IF(Summary_Products!R17="","",Summary_Products!R17)</f>
        <v/>
      </c>
      <c r="T33" s="615" t="str">
        <f>IF(Summary_Products!S17="","",Summary_Products!S17)</f>
        <v/>
      </c>
      <c r="U33" s="615" t="str">
        <f>IF(Summary_Products!T17="","",Summary_Products!T17)</f>
        <v/>
      </c>
      <c r="V33" s="615" t="str">
        <f>IF(Summary_Products!U17="","",Summary_Products!U17)</f>
        <v/>
      </c>
      <c r="W33" s="615" t="str">
        <f>IF(Summary_Products!V17="","",Summary_Products!V17)</f>
        <v/>
      </c>
      <c r="X33" s="615" t="str">
        <f>IF(Summary_Products!W17="","",Summary_Products!W17)</f>
        <v/>
      </c>
      <c r="Y33" s="615" t="str">
        <f>IF(Summary_Products!X17="","",Summary_Products!X17)</f>
        <v/>
      </c>
      <c r="Z33" s="615" t="str">
        <f>IF(Summary_Products!Y17="","",Summary_Products!Y17)</f>
        <v/>
      </c>
      <c r="AA33" s="615" t="str">
        <f>IF(Summary_Products!Z17="","",Summary_Products!Z17)</f>
        <v/>
      </c>
      <c r="AB33" s="615" t="str">
        <f>IF(Summary_Products!AA17="","",Summary_Products!AA17)</f>
        <v/>
      </c>
      <c r="AC33" s="615" t="str">
        <f>IF(Summary_Products!AB17="","",Summary_Products!AB17)</f>
        <v/>
      </c>
      <c r="AD33" s="615" t="str">
        <f>IF(Summary_Products!AC17="","",Summary_Products!AC17)</f>
        <v/>
      </c>
      <c r="AE33" s="615" t="str">
        <f>IF(Summary_Products!AD17="","",Summary_Products!AD17)</f>
        <v/>
      </c>
      <c r="AF33" s="615" t="str">
        <f>IF(Summary_Products!AE17="","",Summary_Products!AE17)</f>
        <v/>
      </c>
      <c r="AG33" s="615" t="str">
        <f>IF(Summary_Products!AF17="","",Summary_Products!AF17)</f>
        <v/>
      </c>
      <c r="AH33" s="615" t="str">
        <f>IF(Summary_Products!AG17="","",Summary_Products!AG17)</f>
        <v/>
      </c>
      <c r="AI33" s="615" t="str">
        <f>IF(Summary_Products!AH17="","",Summary_Products!AH17)</f>
        <v/>
      </c>
      <c r="AJ33" s="615" t="str">
        <f>IF(Summary_Products!AI17="","",Summary_Products!AI17)</f>
        <v/>
      </c>
      <c r="AK33" s="615" t="str">
        <f>IF(Summary_Products!AJ17="","",Summary_Products!AJ17)</f>
        <v/>
      </c>
      <c r="AL33" s="615" t="str">
        <f>IF(Summary_Products!AK17="","",Summary_Products!AK17)</f>
        <v/>
      </c>
      <c r="AM33" s="421" t="str">
        <f>IF(Summary_Products!AL17="","",INDEX(Translations!$C:$C,MATCH(Summary_Products!AL17,Translations!$B:$B,0)))</f>
        <v/>
      </c>
      <c r="AN33" s="615" t="str">
        <f>IF(Summary_Products!AM17="","",Summary_Products!AM17)</f>
        <v/>
      </c>
      <c r="AO33" s="473" t="str">
        <f>IF(Summary_Products!AN17="","",Summary_Products!AN17)</f>
        <v/>
      </c>
      <c r="AP33" s="474" t="str">
        <f>IF(Summary_Products!AO17="","",Summary_Products!AO17)</f>
        <v/>
      </c>
      <c r="AQ33" s="160" t="str">
        <f>IF(Summary_Products!AP17="","",Summary_Products!AP17)</f>
        <v/>
      </c>
      <c r="AR33" s="477" t="str">
        <f>IF(Summary_Products!AR17="","",Summary_Products!AR17)</f>
        <v/>
      </c>
      <c r="AS33" s="474" t="str">
        <f>IF(Summary_Products!AS17="","",Summary_Products!AS17)</f>
        <v/>
      </c>
      <c r="AT33" s="421" t="str">
        <f>IF(Summary_Products!AT17="","",INDEX(Translations!$C:$C,MATCH(Summary_Products!AT17,Translations!$B:$B,0)))</f>
        <v/>
      </c>
      <c r="AU33" s="615" t="str">
        <f>IF(Summary_Products!AU17="","",Summary_Products!AU17)</f>
        <v/>
      </c>
      <c r="AV33" s="473" t="str">
        <f>IF(Summary_Products!AV17="","",Summary_Products!AV17)</f>
        <v/>
      </c>
      <c r="AW33" s="474" t="str">
        <f>IF(Summary_Products!AW17="","",Summary_Products!AW17)</f>
        <v/>
      </c>
      <c r="AX33" s="477" t="str">
        <f>IF(Summary_Products!AX17="","",Summary_Products!AX17)</f>
        <v/>
      </c>
      <c r="AY33" s="474" t="str">
        <f>IF(Summary_Products!AY17="","",Summary_Products!AY17)</f>
        <v/>
      </c>
      <c r="AZ33" s="477" t="str">
        <f>IF(Summary_Products!AZ17="","",Summary_Products!AZ17)</f>
        <v/>
      </c>
      <c r="BA33" s="478" t="str">
        <f>IF(Summary_Products!BA17="","",Summary_Products!BA17)</f>
        <v/>
      </c>
      <c r="BD33" s="156"/>
      <c r="BE33" s="156"/>
      <c r="BF33" s="156"/>
      <c r="BG33" s="156"/>
    </row>
    <row r="34" spans="2:59"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782" t="str">
        <f t="shared" si="0"/>
        <v/>
      </c>
      <c r="Q34" s="160" t="str">
        <f>IF(Summary_Products!P18="","",INDEX(Translations!$C:$C,MATCH(Summary_Products!P18,Translations!$B:$B,0)))</f>
        <v/>
      </c>
      <c r="R34" s="160" t="str">
        <f>IF(Summary_Products!Q18="","",Summary_Products!Q18)</f>
        <v/>
      </c>
      <c r="S34" s="615" t="str">
        <f>IF(Summary_Products!R18="","",Summary_Products!R18)</f>
        <v/>
      </c>
      <c r="T34" s="615" t="str">
        <f>IF(Summary_Products!S18="","",Summary_Products!S18)</f>
        <v/>
      </c>
      <c r="U34" s="615" t="str">
        <f>IF(Summary_Products!T18="","",Summary_Products!T18)</f>
        <v/>
      </c>
      <c r="V34" s="615" t="str">
        <f>IF(Summary_Products!U18="","",Summary_Products!U18)</f>
        <v/>
      </c>
      <c r="W34" s="615" t="str">
        <f>IF(Summary_Products!V18="","",Summary_Products!V18)</f>
        <v/>
      </c>
      <c r="X34" s="615" t="str">
        <f>IF(Summary_Products!W18="","",Summary_Products!W18)</f>
        <v/>
      </c>
      <c r="Y34" s="615" t="str">
        <f>IF(Summary_Products!X18="","",Summary_Products!X18)</f>
        <v/>
      </c>
      <c r="Z34" s="615" t="str">
        <f>IF(Summary_Products!Y18="","",Summary_Products!Y18)</f>
        <v/>
      </c>
      <c r="AA34" s="615" t="str">
        <f>IF(Summary_Products!Z18="","",Summary_Products!Z18)</f>
        <v/>
      </c>
      <c r="AB34" s="615" t="str">
        <f>IF(Summary_Products!AA18="","",Summary_Products!AA18)</f>
        <v/>
      </c>
      <c r="AC34" s="615" t="str">
        <f>IF(Summary_Products!AB18="","",Summary_Products!AB18)</f>
        <v/>
      </c>
      <c r="AD34" s="615" t="str">
        <f>IF(Summary_Products!AC18="","",Summary_Products!AC18)</f>
        <v/>
      </c>
      <c r="AE34" s="615" t="str">
        <f>IF(Summary_Products!AD18="","",Summary_Products!AD18)</f>
        <v/>
      </c>
      <c r="AF34" s="615" t="str">
        <f>IF(Summary_Products!AE18="","",Summary_Products!AE18)</f>
        <v/>
      </c>
      <c r="AG34" s="615" t="str">
        <f>IF(Summary_Products!AF18="","",Summary_Products!AF18)</f>
        <v/>
      </c>
      <c r="AH34" s="615" t="str">
        <f>IF(Summary_Products!AG18="","",Summary_Products!AG18)</f>
        <v/>
      </c>
      <c r="AI34" s="615" t="str">
        <f>IF(Summary_Products!AH18="","",Summary_Products!AH18)</f>
        <v/>
      </c>
      <c r="AJ34" s="615" t="str">
        <f>IF(Summary_Products!AI18="","",Summary_Products!AI18)</f>
        <v/>
      </c>
      <c r="AK34" s="615" t="str">
        <f>IF(Summary_Products!AJ18="","",Summary_Products!AJ18)</f>
        <v/>
      </c>
      <c r="AL34" s="615" t="str">
        <f>IF(Summary_Products!AK18="","",Summary_Products!AK18)</f>
        <v/>
      </c>
      <c r="AM34" s="421" t="str">
        <f>IF(Summary_Products!AL18="","",INDEX(Translations!$C:$C,MATCH(Summary_Products!AL18,Translations!$B:$B,0)))</f>
        <v/>
      </c>
      <c r="AN34" s="615" t="str">
        <f>IF(Summary_Products!AM18="","",Summary_Products!AM18)</f>
        <v/>
      </c>
      <c r="AO34" s="473" t="str">
        <f>IF(Summary_Products!AN18="","",Summary_Products!AN18)</f>
        <v/>
      </c>
      <c r="AP34" s="474" t="str">
        <f>IF(Summary_Products!AO18="","",Summary_Products!AO18)</f>
        <v/>
      </c>
      <c r="AQ34" s="160" t="str">
        <f>IF(Summary_Products!AP18="","",Summary_Products!AP18)</f>
        <v/>
      </c>
      <c r="AR34" s="477" t="str">
        <f>IF(Summary_Products!AR18="","",Summary_Products!AR18)</f>
        <v/>
      </c>
      <c r="AS34" s="474" t="str">
        <f>IF(Summary_Products!AS18="","",Summary_Products!AS18)</f>
        <v/>
      </c>
      <c r="AT34" s="421" t="str">
        <f>IF(Summary_Products!AT18="","",INDEX(Translations!$C:$C,MATCH(Summary_Products!AT18,Translations!$B:$B,0)))</f>
        <v/>
      </c>
      <c r="AU34" s="615" t="str">
        <f>IF(Summary_Products!AU18="","",Summary_Products!AU18)</f>
        <v/>
      </c>
      <c r="AV34" s="473" t="str">
        <f>IF(Summary_Products!AV18="","",Summary_Products!AV18)</f>
        <v/>
      </c>
      <c r="AW34" s="474" t="str">
        <f>IF(Summary_Products!AW18="","",Summary_Products!AW18)</f>
        <v/>
      </c>
      <c r="AX34" s="477" t="str">
        <f>IF(Summary_Products!AX18="","",Summary_Products!AX18)</f>
        <v/>
      </c>
      <c r="AY34" s="474" t="str">
        <f>IF(Summary_Products!AY18="","",Summary_Products!AY18)</f>
        <v/>
      </c>
      <c r="AZ34" s="477" t="str">
        <f>IF(Summary_Products!AZ18="","",Summary_Products!AZ18)</f>
        <v/>
      </c>
      <c r="BA34" s="478" t="str">
        <f>IF(Summary_Products!BA18="","",Summary_Products!BA18)</f>
        <v/>
      </c>
      <c r="BD34" s="156"/>
      <c r="BE34" s="156"/>
      <c r="BF34" s="156"/>
      <c r="BG34" s="156"/>
    </row>
    <row r="35" spans="2:59"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782" t="str">
        <f t="shared" si="0"/>
        <v/>
      </c>
      <c r="Q35" s="160" t="str">
        <f>IF(Summary_Products!P19="","",INDEX(Translations!$C:$C,MATCH(Summary_Products!P19,Translations!$B:$B,0)))</f>
        <v/>
      </c>
      <c r="R35" s="160" t="str">
        <f>IF(Summary_Products!Q19="","",Summary_Products!Q19)</f>
        <v/>
      </c>
      <c r="S35" s="615" t="str">
        <f>IF(Summary_Products!R19="","",Summary_Products!R19)</f>
        <v/>
      </c>
      <c r="T35" s="615" t="str">
        <f>IF(Summary_Products!S19="","",Summary_Products!S19)</f>
        <v/>
      </c>
      <c r="U35" s="615" t="str">
        <f>IF(Summary_Products!T19="","",Summary_Products!T19)</f>
        <v/>
      </c>
      <c r="V35" s="615" t="str">
        <f>IF(Summary_Products!U19="","",Summary_Products!U19)</f>
        <v/>
      </c>
      <c r="W35" s="615" t="str">
        <f>IF(Summary_Products!V19="","",Summary_Products!V19)</f>
        <v/>
      </c>
      <c r="X35" s="615" t="str">
        <f>IF(Summary_Products!W19="","",Summary_Products!W19)</f>
        <v/>
      </c>
      <c r="Y35" s="615" t="str">
        <f>IF(Summary_Products!X19="","",Summary_Products!X19)</f>
        <v/>
      </c>
      <c r="Z35" s="615" t="str">
        <f>IF(Summary_Products!Y19="","",Summary_Products!Y19)</f>
        <v/>
      </c>
      <c r="AA35" s="615" t="str">
        <f>IF(Summary_Products!Z19="","",Summary_Products!Z19)</f>
        <v/>
      </c>
      <c r="AB35" s="615" t="str">
        <f>IF(Summary_Products!AA19="","",Summary_Products!AA19)</f>
        <v/>
      </c>
      <c r="AC35" s="615" t="str">
        <f>IF(Summary_Products!AB19="","",Summary_Products!AB19)</f>
        <v/>
      </c>
      <c r="AD35" s="615" t="str">
        <f>IF(Summary_Products!AC19="","",Summary_Products!AC19)</f>
        <v/>
      </c>
      <c r="AE35" s="615" t="str">
        <f>IF(Summary_Products!AD19="","",Summary_Products!AD19)</f>
        <v/>
      </c>
      <c r="AF35" s="615" t="str">
        <f>IF(Summary_Products!AE19="","",Summary_Products!AE19)</f>
        <v/>
      </c>
      <c r="AG35" s="615" t="str">
        <f>IF(Summary_Products!AF19="","",Summary_Products!AF19)</f>
        <v/>
      </c>
      <c r="AH35" s="615" t="str">
        <f>IF(Summary_Products!AG19="","",Summary_Products!AG19)</f>
        <v/>
      </c>
      <c r="AI35" s="615" t="str">
        <f>IF(Summary_Products!AH19="","",Summary_Products!AH19)</f>
        <v/>
      </c>
      <c r="AJ35" s="615" t="str">
        <f>IF(Summary_Products!AI19="","",Summary_Products!AI19)</f>
        <v/>
      </c>
      <c r="AK35" s="615" t="str">
        <f>IF(Summary_Products!AJ19="","",Summary_Products!AJ19)</f>
        <v/>
      </c>
      <c r="AL35" s="615" t="str">
        <f>IF(Summary_Products!AK19="","",Summary_Products!AK19)</f>
        <v/>
      </c>
      <c r="AM35" s="421" t="str">
        <f>IF(Summary_Products!AL19="","",INDEX(Translations!$C:$C,MATCH(Summary_Products!AL19,Translations!$B:$B,0)))</f>
        <v/>
      </c>
      <c r="AN35" s="615" t="str">
        <f>IF(Summary_Products!AM19="","",Summary_Products!AM19)</f>
        <v/>
      </c>
      <c r="AO35" s="473" t="str">
        <f>IF(Summary_Products!AN19="","",Summary_Products!AN19)</f>
        <v/>
      </c>
      <c r="AP35" s="474" t="str">
        <f>IF(Summary_Products!AO19="","",Summary_Products!AO19)</f>
        <v/>
      </c>
      <c r="AQ35" s="160" t="str">
        <f>IF(Summary_Products!AP19="","",Summary_Products!AP19)</f>
        <v/>
      </c>
      <c r="AR35" s="477" t="str">
        <f>IF(Summary_Products!AR19="","",Summary_Products!AR19)</f>
        <v/>
      </c>
      <c r="AS35" s="474" t="str">
        <f>IF(Summary_Products!AS19="","",Summary_Products!AS19)</f>
        <v/>
      </c>
      <c r="AT35" s="421" t="str">
        <f>IF(Summary_Products!AT19="","",INDEX(Translations!$C:$C,MATCH(Summary_Products!AT19,Translations!$B:$B,0)))</f>
        <v/>
      </c>
      <c r="AU35" s="615" t="str">
        <f>IF(Summary_Products!AU19="","",Summary_Products!AU19)</f>
        <v/>
      </c>
      <c r="AV35" s="473" t="str">
        <f>IF(Summary_Products!AV19="","",Summary_Products!AV19)</f>
        <v/>
      </c>
      <c r="AW35" s="474" t="str">
        <f>IF(Summary_Products!AW19="","",Summary_Products!AW19)</f>
        <v/>
      </c>
      <c r="AX35" s="477" t="str">
        <f>IF(Summary_Products!AX19="","",Summary_Products!AX19)</f>
        <v/>
      </c>
      <c r="AY35" s="474" t="str">
        <f>IF(Summary_Products!AY19="","",Summary_Products!AY19)</f>
        <v/>
      </c>
      <c r="AZ35" s="477" t="str">
        <f>IF(Summary_Products!AZ19="","",Summary_Products!AZ19)</f>
        <v/>
      </c>
      <c r="BA35" s="478" t="str">
        <f>IF(Summary_Products!BA19="","",Summary_Products!BA19)</f>
        <v/>
      </c>
      <c r="BD35" s="156"/>
      <c r="BE35" s="156"/>
      <c r="BF35" s="156"/>
      <c r="BG35" s="156"/>
    </row>
    <row r="36" spans="2:59"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782" t="str">
        <f t="shared" si="0"/>
        <v/>
      </c>
      <c r="Q36" s="160" t="str">
        <f>IF(Summary_Products!P20="","",INDEX(Translations!$C:$C,MATCH(Summary_Products!P20,Translations!$B:$B,0)))</f>
        <v/>
      </c>
      <c r="R36" s="160" t="str">
        <f>IF(Summary_Products!Q20="","",Summary_Products!Q20)</f>
        <v/>
      </c>
      <c r="S36" s="615" t="str">
        <f>IF(Summary_Products!R20="","",Summary_Products!R20)</f>
        <v/>
      </c>
      <c r="T36" s="615" t="str">
        <f>IF(Summary_Products!S20="","",Summary_Products!S20)</f>
        <v/>
      </c>
      <c r="U36" s="615" t="str">
        <f>IF(Summary_Products!T20="","",Summary_Products!T20)</f>
        <v/>
      </c>
      <c r="V36" s="615" t="str">
        <f>IF(Summary_Products!U20="","",Summary_Products!U20)</f>
        <v/>
      </c>
      <c r="W36" s="615" t="str">
        <f>IF(Summary_Products!V20="","",Summary_Products!V20)</f>
        <v/>
      </c>
      <c r="X36" s="615" t="str">
        <f>IF(Summary_Products!W20="","",Summary_Products!W20)</f>
        <v/>
      </c>
      <c r="Y36" s="615" t="str">
        <f>IF(Summary_Products!X20="","",Summary_Products!X20)</f>
        <v/>
      </c>
      <c r="Z36" s="615" t="str">
        <f>IF(Summary_Products!Y20="","",Summary_Products!Y20)</f>
        <v/>
      </c>
      <c r="AA36" s="615" t="str">
        <f>IF(Summary_Products!Z20="","",Summary_Products!Z20)</f>
        <v/>
      </c>
      <c r="AB36" s="615" t="str">
        <f>IF(Summary_Products!AA20="","",Summary_Products!AA20)</f>
        <v/>
      </c>
      <c r="AC36" s="615" t="str">
        <f>IF(Summary_Products!AB20="","",Summary_Products!AB20)</f>
        <v/>
      </c>
      <c r="AD36" s="615" t="str">
        <f>IF(Summary_Products!AC20="","",Summary_Products!AC20)</f>
        <v/>
      </c>
      <c r="AE36" s="615" t="str">
        <f>IF(Summary_Products!AD20="","",Summary_Products!AD20)</f>
        <v/>
      </c>
      <c r="AF36" s="615" t="str">
        <f>IF(Summary_Products!AE20="","",Summary_Products!AE20)</f>
        <v/>
      </c>
      <c r="AG36" s="615" t="str">
        <f>IF(Summary_Products!AF20="","",Summary_Products!AF20)</f>
        <v/>
      </c>
      <c r="AH36" s="615" t="str">
        <f>IF(Summary_Products!AG20="","",Summary_Products!AG20)</f>
        <v/>
      </c>
      <c r="AI36" s="615" t="str">
        <f>IF(Summary_Products!AH20="","",Summary_Products!AH20)</f>
        <v/>
      </c>
      <c r="AJ36" s="615" t="str">
        <f>IF(Summary_Products!AI20="","",Summary_Products!AI20)</f>
        <v/>
      </c>
      <c r="AK36" s="615" t="str">
        <f>IF(Summary_Products!AJ20="","",Summary_Products!AJ20)</f>
        <v/>
      </c>
      <c r="AL36" s="615" t="str">
        <f>IF(Summary_Products!AK20="","",Summary_Products!AK20)</f>
        <v/>
      </c>
      <c r="AM36" s="421" t="str">
        <f>IF(Summary_Products!AL20="","",INDEX(Translations!$C:$C,MATCH(Summary_Products!AL20,Translations!$B:$B,0)))</f>
        <v/>
      </c>
      <c r="AN36" s="615" t="str">
        <f>IF(Summary_Products!AM20="","",Summary_Products!AM20)</f>
        <v/>
      </c>
      <c r="AO36" s="473" t="str">
        <f>IF(Summary_Products!AN20="","",Summary_Products!AN20)</f>
        <v/>
      </c>
      <c r="AP36" s="474" t="str">
        <f>IF(Summary_Products!AO20="","",Summary_Products!AO20)</f>
        <v/>
      </c>
      <c r="AQ36" s="160" t="str">
        <f>IF(Summary_Products!AP20="","",Summary_Products!AP20)</f>
        <v/>
      </c>
      <c r="AR36" s="477" t="str">
        <f>IF(Summary_Products!AR20="","",Summary_Products!AR20)</f>
        <v/>
      </c>
      <c r="AS36" s="474" t="str">
        <f>IF(Summary_Products!AS20="","",Summary_Products!AS20)</f>
        <v/>
      </c>
      <c r="AT36" s="421" t="str">
        <f>IF(Summary_Products!AT20="","",INDEX(Translations!$C:$C,MATCH(Summary_Products!AT20,Translations!$B:$B,0)))</f>
        <v/>
      </c>
      <c r="AU36" s="615" t="str">
        <f>IF(Summary_Products!AU20="","",Summary_Products!AU20)</f>
        <v/>
      </c>
      <c r="AV36" s="473" t="str">
        <f>IF(Summary_Products!AV20="","",Summary_Products!AV20)</f>
        <v/>
      </c>
      <c r="AW36" s="474" t="str">
        <f>IF(Summary_Products!AW20="","",Summary_Products!AW20)</f>
        <v/>
      </c>
      <c r="AX36" s="477" t="str">
        <f>IF(Summary_Products!AX20="","",Summary_Products!AX20)</f>
        <v/>
      </c>
      <c r="AY36" s="474" t="str">
        <f>IF(Summary_Products!AY20="","",Summary_Products!AY20)</f>
        <v/>
      </c>
      <c r="AZ36" s="477" t="str">
        <f>IF(Summary_Products!AZ20="","",Summary_Products!AZ20)</f>
        <v/>
      </c>
      <c r="BA36" s="478" t="str">
        <f>IF(Summary_Products!BA20="","",Summary_Products!BA20)</f>
        <v/>
      </c>
      <c r="BD36" s="156"/>
      <c r="BE36" s="156"/>
      <c r="BF36" s="156"/>
      <c r="BG36" s="156"/>
    </row>
    <row r="37" spans="2:59"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782" t="str">
        <f t="shared" si="0"/>
        <v/>
      </c>
      <c r="Q37" s="160" t="str">
        <f>IF(Summary_Products!P21="","",INDEX(Translations!$C:$C,MATCH(Summary_Products!P21,Translations!$B:$B,0)))</f>
        <v/>
      </c>
      <c r="R37" s="160" t="str">
        <f>IF(Summary_Products!Q21="","",Summary_Products!Q21)</f>
        <v/>
      </c>
      <c r="S37" s="615" t="str">
        <f>IF(Summary_Products!R21="","",Summary_Products!R21)</f>
        <v/>
      </c>
      <c r="T37" s="615" t="str">
        <f>IF(Summary_Products!S21="","",Summary_Products!S21)</f>
        <v/>
      </c>
      <c r="U37" s="615" t="str">
        <f>IF(Summary_Products!T21="","",Summary_Products!T21)</f>
        <v/>
      </c>
      <c r="V37" s="615" t="str">
        <f>IF(Summary_Products!U21="","",Summary_Products!U21)</f>
        <v/>
      </c>
      <c r="W37" s="615" t="str">
        <f>IF(Summary_Products!V21="","",Summary_Products!V21)</f>
        <v/>
      </c>
      <c r="X37" s="615" t="str">
        <f>IF(Summary_Products!W21="","",Summary_Products!W21)</f>
        <v/>
      </c>
      <c r="Y37" s="615" t="str">
        <f>IF(Summary_Products!X21="","",Summary_Products!X21)</f>
        <v/>
      </c>
      <c r="Z37" s="615" t="str">
        <f>IF(Summary_Products!Y21="","",Summary_Products!Y21)</f>
        <v/>
      </c>
      <c r="AA37" s="615" t="str">
        <f>IF(Summary_Products!Z21="","",Summary_Products!Z21)</f>
        <v/>
      </c>
      <c r="AB37" s="615" t="str">
        <f>IF(Summary_Products!AA21="","",Summary_Products!AA21)</f>
        <v/>
      </c>
      <c r="AC37" s="615" t="str">
        <f>IF(Summary_Products!AB21="","",Summary_Products!AB21)</f>
        <v/>
      </c>
      <c r="AD37" s="615" t="str">
        <f>IF(Summary_Products!AC21="","",Summary_Products!AC21)</f>
        <v/>
      </c>
      <c r="AE37" s="615" t="str">
        <f>IF(Summary_Products!AD21="","",Summary_Products!AD21)</f>
        <v/>
      </c>
      <c r="AF37" s="615" t="str">
        <f>IF(Summary_Products!AE21="","",Summary_Products!AE21)</f>
        <v/>
      </c>
      <c r="AG37" s="615" t="str">
        <f>IF(Summary_Products!AF21="","",Summary_Products!AF21)</f>
        <v/>
      </c>
      <c r="AH37" s="615" t="str">
        <f>IF(Summary_Products!AG21="","",Summary_Products!AG21)</f>
        <v/>
      </c>
      <c r="AI37" s="615" t="str">
        <f>IF(Summary_Products!AH21="","",Summary_Products!AH21)</f>
        <v/>
      </c>
      <c r="AJ37" s="615" t="str">
        <f>IF(Summary_Products!AI21="","",Summary_Products!AI21)</f>
        <v/>
      </c>
      <c r="AK37" s="615" t="str">
        <f>IF(Summary_Products!AJ21="","",Summary_Products!AJ21)</f>
        <v/>
      </c>
      <c r="AL37" s="615" t="str">
        <f>IF(Summary_Products!AK21="","",Summary_Products!AK21)</f>
        <v/>
      </c>
      <c r="AM37" s="421" t="str">
        <f>IF(Summary_Products!AL21="","",INDEX(Translations!$C:$C,MATCH(Summary_Products!AL21,Translations!$B:$B,0)))</f>
        <v/>
      </c>
      <c r="AN37" s="615" t="str">
        <f>IF(Summary_Products!AM21="","",Summary_Products!AM21)</f>
        <v/>
      </c>
      <c r="AO37" s="473" t="str">
        <f>IF(Summary_Products!AN21="","",Summary_Products!AN21)</f>
        <v/>
      </c>
      <c r="AP37" s="474" t="str">
        <f>IF(Summary_Products!AO21="","",Summary_Products!AO21)</f>
        <v/>
      </c>
      <c r="AQ37" s="160" t="str">
        <f>IF(Summary_Products!AP21="","",Summary_Products!AP21)</f>
        <v/>
      </c>
      <c r="AR37" s="477" t="str">
        <f>IF(Summary_Products!AR21="","",Summary_Products!AR21)</f>
        <v/>
      </c>
      <c r="AS37" s="474" t="str">
        <f>IF(Summary_Products!AS21="","",Summary_Products!AS21)</f>
        <v/>
      </c>
      <c r="AT37" s="421" t="str">
        <f>IF(Summary_Products!AT21="","",INDEX(Translations!$C:$C,MATCH(Summary_Products!AT21,Translations!$B:$B,0)))</f>
        <v/>
      </c>
      <c r="AU37" s="615" t="str">
        <f>IF(Summary_Products!AU21="","",Summary_Products!AU21)</f>
        <v/>
      </c>
      <c r="AV37" s="473" t="str">
        <f>IF(Summary_Products!AV21="","",Summary_Products!AV21)</f>
        <v/>
      </c>
      <c r="AW37" s="474" t="str">
        <f>IF(Summary_Products!AW21="","",Summary_Products!AW21)</f>
        <v/>
      </c>
      <c r="AX37" s="477" t="str">
        <f>IF(Summary_Products!AX21="","",Summary_Products!AX21)</f>
        <v/>
      </c>
      <c r="AY37" s="474" t="str">
        <f>IF(Summary_Products!AY21="","",Summary_Products!AY21)</f>
        <v/>
      </c>
      <c r="AZ37" s="477" t="str">
        <f>IF(Summary_Products!AZ21="","",Summary_Products!AZ21)</f>
        <v/>
      </c>
      <c r="BA37" s="478" t="str">
        <f>IF(Summary_Products!BA21="","",Summary_Products!BA21)</f>
        <v/>
      </c>
      <c r="BD37" s="156"/>
      <c r="BE37" s="156"/>
      <c r="BF37" s="156"/>
      <c r="BG37" s="156"/>
    </row>
    <row r="38" spans="2:59"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782" t="str">
        <f t="shared" si="0"/>
        <v/>
      </c>
      <c r="Q38" s="160" t="str">
        <f>IF(Summary_Products!P22="","",INDEX(Translations!$C:$C,MATCH(Summary_Products!P22,Translations!$B:$B,0)))</f>
        <v/>
      </c>
      <c r="R38" s="160" t="str">
        <f>IF(Summary_Products!Q22="","",Summary_Products!Q22)</f>
        <v/>
      </c>
      <c r="S38" s="615" t="str">
        <f>IF(Summary_Products!R22="","",Summary_Products!R22)</f>
        <v/>
      </c>
      <c r="T38" s="615" t="str">
        <f>IF(Summary_Products!S22="","",Summary_Products!S22)</f>
        <v/>
      </c>
      <c r="U38" s="615" t="str">
        <f>IF(Summary_Products!T22="","",Summary_Products!T22)</f>
        <v/>
      </c>
      <c r="V38" s="615" t="str">
        <f>IF(Summary_Products!U22="","",Summary_Products!U22)</f>
        <v/>
      </c>
      <c r="W38" s="615" t="str">
        <f>IF(Summary_Products!V22="","",Summary_Products!V22)</f>
        <v/>
      </c>
      <c r="X38" s="615" t="str">
        <f>IF(Summary_Products!W22="","",Summary_Products!W22)</f>
        <v/>
      </c>
      <c r="Y38" s="615" t="str">
        <f>IF(Summary_Products!X22="","",Summary_Products!X22)</f>
        <v/>
      </c>
      <c r="Z38" s="615" t="str">
        <f>IF(Summary_Products!Y22="","",Summary_Products!Y22)</f>
        <v/>
      </c>
      <c r="AA38" s="615" t="str">
        <f>IF(Summary_Products!Z22="","",Summary_Products!Z22)</f>
        <v/>
      </c>
      <c r="AB38" s="615" t="str">
        <f>IF(Summary_Products!AA22="","",Summary_Products!AA22)</f>
        <v/>
      </c>
      <c r="AC38" s="615" t="str">
        <f>IF(Summary_Products!AB22="","",Summary_Products!AB22)</f>
        <v/>
      </c>
      <c r="AD38" s="615" t="str">
        <f>IF(Summary_Products!AC22="","",Summary_Products!AC22)</f>
        <v/>
      </c>
      <c r="AE38" s="615" t="str">
        <f>IF(Summary_Products!AD22="","",Summary_Products!AD22)</f>
        <v/>
      </c>
      <c r="AF38" s="615" t="str">
        <f>IF(Summary_Products!AE22="","",Summary_Products!AE22)</f>
        <v/>
      </c>
      <c r="AG38" s="615" t="str">
        <f>IF(Summary_Products!AF22="","",Summary_Products!AF22)</f>
        <v/>
      </c>
      <c r="AH38" s="615" t="str">
        <f>IF(Summary_Products!AG22="","",Summary_Products!AG22)</f>
        <v/>
      </c>
      <c r="AI38" s="615" t="str">
        <f>IF(Summary_Products!AH22="","",Summary_Products!AH22)</f>
        <v/>
      </c>
      <c r="AJ38" s="615" t="str">
        <f>IF(Summary_Products!AI22="","",Summary_Products!AI22)</f>
        <v/>
      </c>
      <c r="AK38" s="615" t="str">
        <f>IF(Summary_Products!AJ22="","",Summary_Products!AJ22)</f>
        <v/>
      </c>
      <c r="AL38" s="615" t="str">
        <f>IF(Summary_Products!AK22="","",Summary_Products!AK22)</f>
        <v/>
      </c>
      <c r="AM38" s="421" t="str">
        <f>IF(Summary_Products!AL22="","",INDEX(Translations!$C:$C,MATCH(Summary_Products!AL22,Translations!$B:$B,0)))</f>
        <v/>
      </c>
      <c r="AN38" s="615" t="str">
        <f>IF(Summary_Products!AM22="","",Summary_Products!AM22)</f>
        <v/>
      </c>
      <c r="AO38" s="473" t="str">
        <f>IF(Summary_Products!AN22="","",Summary_Products!AN22)</f>
        <v/>
      </c>
      <c r="AP38" s="474" t="str">
        <f>IF(Summary_Products!AO22="","",Summary_Products!AO22)</f>
        <v/>
      </c>
      <c r="AQ38" s="160" t="str">
        <f>IF(Summary_Products!AP22="","",Summary_Products!AP22)</f>
        <v/>
      </c>
      <c r="AR38" s="477" t="str">
        <f>IF(Summary_Products!AR22="","",Summary_Products!AR22)</f>
        <v/>
      </c>
      <c r="AS38" s="474" t="str">
        <f>IF(Summary_Products!AS22="","",Summary_Products!AS22)</f>
        <v/>
      </c>
      <c r="AT38" s="421" t="str">
        <f>IF(Summary_Products!AT22="","",INDEX(Translations!$C:$C,MATCH(Summary_Products!AT22,Translations!$B:$B,0)))</f>
        <v/>
      </c>
      <c r="AU38" s="615" t="str">
        <f>IF(Summary_Products!AU22="","",Summary_Products!AU22)</f>
        <v/>
      </c>
      <c r="AV38" s="473" t="str">
        <f>IF(Summary_Products!AV22="","",Summary_Products!AV22)</f>
        <v/>
      </c>
      <c r="AW38" s="474" t="str">
        <f>IF(Summary_Products!AW22="","",Summary_Products!AW22)</f>
        <v/>
      </c>
      <c r="AX38" s="477" t="str">
        <f>IF(Summary_Products!AX22="","",Summary_Products!AX22)</f>
        <v/>
      </c>
      <c r="AY38" s="474" t="str">
        <f>IF(Summary_Products!AY22="","",Summary_Products!AY22)</f>
        <v/>
      </c>
      <c r="AZ38" s="477" t="str">
        <f>IF(Summary_Products!AZ22="","",Summary_Products!AZ22)</f>
        <v/>
      </c>
      <c r="BA38" s="478" t="str">
        <f>IF(Summary_Products!BA22="","",Summary_Products!BA22)</f>
        <v/>
      </c>
      <c r="BD38" s="156"/>
      <c r="BE38" s="156"/>
      <c r="BF38" s="156"/>
      <c r="BG38" s="156"/>
    </row>
    <row r="39" spans="2:59"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782" t="str">
        <f t="shared" si="0"/>
        <v/>
      </c>
      <c r="Q39" s="160" t="str">
        <f>IF(Summary_Products!P23="","",INDEX(Translations!$C:$C,MATCH(Summary_Products!P23,Translations!$B:$B,0)))</f>
        <v/>
      </c>
      <c r="R39" s="160" t="str">
        <f>IF(Summary_Products!Q23="","",Summary_Products!Q23)</f>
        <v/>
      </c>
      <c r="S39" s="615" t="str">
        <f>IF(Summary_Products!R23="","",Summary_Products!R23)</f>
        <v/>
      </c>
      <c r="T39" s="615" t="str">
        <f>IF(Summary_Products!S23="","",Summary_Products!S23)</f>
        <v/>
      </c>
      <c r="U39" s="615" t="str">
        <f>IF(Summary_Products!T23="","",Summary_Products!T23)</f>
        <v/>
      </c>
      <c r="V39" s="615" t="str">
        <f>IF(Summary_Products!U23="","",Summary_Products!U23)</f>
        <v/>
      </c>
      <c r="W39" s="615" t="str">
        <f>IF(Summary_Products!V23="","",Summary_Products!V23)</f>
        <v/>
      </c>
      <c r="X39" s="615" t="str">
        <f>IF(Summary_Products!W23="","",Summary_Products!W23)</f>
        <v/>
      </c>
      <c r="Y39" s="615" t="str">
        <f>IF(Summary_Products!X23="","",Summary_Products!X23)</f>
        <v/>
      </c>
      <c r="Z39" s="615" t="str">
        <f>IF(Summary_Products!Y23="","",Summary_Products!Y23)</f>
        <v/>
      </c>
      <c r="AA39" s="615" t="str">
        <f>IF(Summary_Products!Z23="","",Summary_Products!Z23)</f>
        <v/>
      </c>
      <c r="AB39" s="615" t="str">
        <f>IF(Summary_Products!AA23="","",Summary_Products!AA23)</f>
        <v/>
      </c>
      <c r="AC39" s="615" t="str">
        <f>IF(Summary_Products!AB23="","",Summary_Products!AB23)</f>
        <v/>
      </c>
      <c r="AD39" s="615" t="str">
        <f>IF(Summary_Products!AC23="","",Summary_Products!AC23)</f>
        <v/>
      </c>
      <c r="AE39" s="615" t="str">
        <f>IF(Summary_Products!AD23="","",Summary_Products!AD23)</f>
        <v/>
      </c>
      <c r="AF39" s="615" t="str">
        <f>IF(Summary_Products!AE23="","",Summary_Products!AE23)</f>
        <v/>
      </c>
      <c r="AG39" s="615" t="str">
        <f>IF(Summary_Products!AF23="","",Summary_Products!AF23)</f>
        <v/>
      </c>
      <c r="AH39" s="615" t="str">
        <f>IF(Summary_Products!AG23="","",Summary_Products!AG23)</f>
        <v/>
      </c>
      <c r="AI39" s="615" t="str">
        <f>IF(Summary_Products!AH23="","",Summary_Products!AH23)</f>
        <v/>
      </c>
      <c r="AJ39" s="615" t="str">
        <f>IF(Summary_Products!AI23="","",Summary_Products!AI23)</f>
        <v/>
      </c>
      <c r="AK39" s="615" t="str">
        <f>IF(Summary_Products!AJ23="","",Summary_Products!AJ23)</f>
        <v/>
      </c>
      <c r="AL39" s="615" t="str">
        <f>IF(Summary_Products!AK23="","",Summary_Products!AK23)</f>
        <v/>
      </c>
      <c r="AM39" s="421" t="str">
        <f>IF(Summary_Products!AL23="","",INDEX(Translations!$C:$C,MATCH(Summary_Products!AL23,Translations!$B:$B,0)))</f>
        <v/>
      </c>
      <c r="AN39" s="615" t="str">
        <f>IF(Summary_Products!AM23="","",Summary_Products!AM23)</f>
        <v/>
      </c>
      <c r="AO39" s="473" t="str">
        <f>IF(Summary_Products!AN23="","",Summary_Products!AN23)</f>
        <v/>
      </c>
      <c r="AP39" s="474" t="str">
        <f>IF(Summary_Products!AO23="","",Summary_Products!AO23)</f>
        <v/>
      </c>
      <c r="AQ39" s="160" t="str">
        <f>IF(Summary_Products!AP23="","",Summary_Products!AP23)</f>
        <v/>
      </c>
      <c r="AR39" s="477" t="str">
        <f>IF(Summary_Products!AR23="","",Summary_Products!AR23)</f>
        <v/>
      </c>
      <c r="AS39" s="474" t="str">
        <f>IF(Summary_Products!AS23="","",Summary_Products!AS23)</f>
        <v/>
      </c>
      <c r="AT39" s="421" t="str">
        <f>IF(Summary_Products!AT23="","",INDEX(Translations!$C:$C,MATCH(Summary_Products!AT23,Translations!$B:$B,0)))</f>
        <v/>
      </c>
      <c r="AU39" s="615" t="str">
        <f>IF(Summary_Products!AU23="","",Summary_Products!AU23)</f>
        <v/>
      </c>
      <c r="AV39" s="473" t="str">
        <f>IF(Summary_Products!AV23="","",Summary_Products!AV23)</f>
        <v/>
      </c>
      <c r="AW39" s="474" t="str">
        <f>IF(Summary_Products!AW23="","",Summary_Products!AW23)</f>
        <v/>
      </c>
      <c r="AX39" s="477" t="str">
        <f>IF(Summary_Products!AX23="","",Summary_Products!AX23)</f>
        <v/>
      </c>
      <c r="AY39" s="474" t="str">
        <f>IF(Summary_Products!AY23="","",Summary_Products!AY23)</f>
        <v/>
      </c>
      <c r="AZ39" s="477" t="str">
        <f>IF(Summary_Products!AZ23="","",Summary_Products!AZ23)</f>
        <v/>
      </c>
      <c r="BA39" s="478" t="str">
        <f>IF(Summary_Products!BA23="","",Summary_Products!BA23)</f>
        <v/>
      </c>
      <c r="BD39" s="156"/>
      <c r="BE39" s="156"/>
      <c r="BF39" s="156"/>
      <c r="BG39" s="156"/>
    </row>
    <row r="40" spans="2:59"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782" t="str">
        <f t="shared" si="0"/>
        <v/>
      </c>
      <c r="Q40" s="160" t="str">
        <f>IF(Summary_Products!P24="","",INDEX(Translations!$C:$C,MATCH(Summary_Products!P24,Translations!$B:$B,0)))</f>
        <v/>
      </c>
      <c r="R40" s="160" t="str">
        <f>IF(Summary_Products!Q24="","",Summary_Products!Q24)</f>
        <v/>
      </c>
      <c r="S40" s="615" t="str">
        <f>IF(Summary_Products!R24="","",Summary_Products!R24)</f>
        <v/>
      </c>
      <c r="T40" s="615" t="str">
        <f>IF(Summary_Products!S24="","",Summary_Products!S24)</f>
        <v/>
      </c>
      <c r="U40" s="615" t="str">
        <f>IF(Summary_Products!T24="","",Summary_Products!T24)</f>
        <v/>
      </c>
      <c r="V40" s="615" t="str">
        <f>IF(Summary_Products!U24="","",Summary_Products!U24)</f>
        <v/>
      </c>
      <c r="W40" s="615" t="str">
        <f>IF(Summary_Products!V24="","",Summary_Products!V24)</f>
        <v/>
      </c>
      <c r="X40" s="615" t="str">
        <f>IF(Summary_Products!W24="","",Summary_Products!W24)</f>
        <v/>
      </c>
      <c r="Y40" s="615" t="str">
        <f>IF(Summary_Products!X24="","",Summary_Products!X24)</f>
        <v/>
      </c>
      <c r="Z40" s="615" t="str">
        <f>IF(Summary_Products!Y24="","",Summary_Products!Y24)</f>
        <v/>
      </c>
      <c r="AA40" s="615" t="str">
        <f>IF(Summary_Products!Z24="","",Summary_Products!Z24)</f>
        <v/>
      </c>
      <c r="AB40" s="615" t="str">
        <f>IF(Summary_Products!AA24="","",Summary_Products!AA24)</f>
        <v/>
      </c>
      <c r="AC40" s="615" t="str">
        <f>IF(Summary_Products!AB24="","",Summary_Products!AB24)</f>
        <v/>
      </c>
      <c r="AD40" s="615" t="str">
        <f>IF(Summary_Products!AC24="","",Summary_Products!AC24)</f>
        <v/>
      </c>
      <c r="AE40" s="615" t="str">
        <f>IF(Summary_Products!AD24="","",Summary_Products!AD24)</f>
        <v/>
      </c>
      <c r="AF40" s="615" t="str">
        <f>IF(Summary_Products!AE24="","",Summary_Products!AE24)</f>
        <v/>
      </c>
      <c r="AG40" s="615" t="str">
        <f>IF(Summary_Products!AF24="","",Summary_Products!AF24)</f>
        <v/>
      </c>
      <c r="AH40" s="615" t="str">
        <f>IF(Summary_Products!AG24="","",Summary_Products!AG24)</f>
        <v/>
      </c>
      <c r="AI40" s="615" t="str">
        <f>IF(Summary_Products!AH24="","",Summary_Products!AH24)</f>
        <v/>
      </c>
      <c r="AJ40" s="615" t="str">
        <f>IF(Summary_Products!AI24="","",Summary_Products!AI24)</f>
        <v/>
      </c>
      <c r="AK40" s="615" t="str">
        <f>IF(Summary_Products!AJ24="","",Summary_Products!AJ24)</f>
        <v/>
      </c>
      <c r="AL40" s="615" t="str">
        <f>IF(Summary_Products!AK24="","",Summary_Products!AK24)</f>
        <v/>
      </c>
      <c r="AM40" s="421" t="str">
        <f>IF(Summary_Products!AL24="","",INDEX(Translations!$C:$C,MATCH(Summary_Products!AL24,Translations!$B:$B,0)))</f>
        <v/>
      </c>
      <c r="AN40" s="615" t="str">
        <f>IF(Summary_Products!AM24="","",Summary_Products!AM24)</f>
        <v/>
      </c>
      <c r="AO40" s="473" t="str">
        <f>IF(Summary_Products!AN24="","",Summary_Products!AN24)</f>
        <v/>
      </c>
      <c r="AP40" s="474" t="str">
        <f>IF(Summary_Products!AO24="","",Summary_Products!AO24)</f>
        <v/>
      </c>
      <c r="AQ40" s="160" t="str">
        <f>IF(Summary_Products!AP24="","",Summary_Products!AP24)</f>
        <v/>
      </c>
      <c r="AR40" s="477" t="str">
        <f>IF(Summary_Products!AR24="","",Summary_Products!AR24)</f>
        <v/>
      </c>
      <c r="AS40" s="474" t="str">
        <f>IF(Summary_Products!AS24="","",Summary_Products!AS24)</f>
        <v/>
      </c>
      <c r="AT40" s="421" t="str">
        <f>IF(Summary_Products!AT24="","",INDEX(Translations!$C:$C,MATCH(Summary_Products!AT24,Translations!$B:$B,0)))</f>
        <v/>
      </c>
      <c r="AU40" s="615" t="str">
        <f>IF(Summary_Products!AU24="","",Summary_Products!AU24)</f>
        <v/>
      </c>
      <c r="AV40" s="473" t="str">
        <f>IF(Summary_Products!AV24="","",Summary_Products!AV24)</f>
        <v/>
      </c>
      <c r="AW40" s="474" t="str">
        <f>IF(Summary_Products!AW24="","",Summary_Products!AW24)</f>
        <v/>
      </c>
      <c r="AX40" s="477" t="str">
        <f>IF(Summary_Products!AX24="","",Summary_Products!AX24)</f>
        <v/>
      </c>
      <c r="AY40" s="474" t="str">
        <f>IF(Summary_Products!AY24="","",Summary_Products!AY24)</f>
        <v/>
      </c>
      <c r="AZ40" s="477" t="str">
        <f>IF(Summary_Products!AZ24="","",Summary_Products!AZ24)</f>
        <v/>
      </c>
      <c r="BA40" s="478" t="str">
        <f>IF(Summary_Products!BA24="","",Summary_Products!BA24)</f>
        <v/>
      </c>
      <c r="BD40" s="156"/>
      <c r="BE40" s="156"/>
      <c r="BF40" s="156"/>
      <c r="BG40" s="156"/>
    </row>
    <row r="41" spans="2:59"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782" t="str">
        <f t="shared" si="0"/>
        <v/>
      </c>
      <c r="Q41" s="160" t="str">
        <f>IF(Summary_Products!P25="","",INDEX(Translations!$C:$C,MATCH(Summary_Products!P25,Translations!$B:$B,0)))</f>
        <v/>
      </c>
      <c r="R41" s="160" t="str">
        <f>IF(Summary_Products!Q25="","",Summary_Products!Q25)</f>
        <v/>
      </c>
      <c r="S41" s="615" t="str">
        <f>IF(Summary_Products!R25="","",Summary_Products!R25)</f>
        <v/>
      </c>
      <c r="T41" s="615" t="str">
        <f>IF(Summary_Products!S25="","",Summary_Products!S25)</f>
        <v/>
      </c>
      <c r="U41" s="615" t="str">
        <f>IF(Summary_Products!T25="","",Summary_Products!T25)</f>
        <v/>
      </c>
      <c r="V41" s="615" t="str">
        <f>IF(Summary_Products!U25="","",Summary_Products!U25)</f>
        <v/>
      </c>
      <c r="W41" s="615" t="str">
        <f>IF(Summary_Products!V25="","",Summary_Products!V25)</f>
        <v/>
      </c>
      <c r="X41" s="615" t="str">
        <f>IF(Summary_Products!W25="","",Summary_Products!W25)</f>
        <v/>
      </c>
      <c r="Y41" s="615" t="str">
        <f>IF(Summary_Products!X25="","",Summary_Products!X25)</f>
        <v/>
      </c>
      <c r="Z41" s="615" t="str">
        <f>IF(Summary_Products!Y25="","",Summary_Products!Y25)</f>
        <v/>
      </c>
      <c r="AA41" s="615" t="str">
        <f>IF(Summary_Products!Z25="","",Summary_Products!Z25)</f>
        <v/>
      </c>
      <c r="AB41" s="615" t="str">
        <f>IF(Summary_Products!AA25="","",Summary_Products!AA25)</f>
        <v/>
      </c>
      <c r="AC41" s="615" t="str">
        <f>IF(Summary_Products!AB25="","",Summary_Products!AB25)</f>
        <v/>
      </c>
      <c r="AD41" s="615" t="str">
        <f>IF(Summary_Products!AC25="","",Summary_Products!AC25)</f>
        <v/>
      </c>
      <c r="AE41" s="615" t="str">
        <f>IF(Summary_Products!AD25="","",Summary_Products!AD25)</f>
        <v/>
      </c>
      <c r="AF41" s="615" t="str">
        <f>IF(Summary_Products!AE25="","",Summary_Products!AE25)</f>
        <v/>
      </c>
      <c r="AG41" s="615" t="str">
        <f>IF(Summary_Products!AF25="","",Summary_Products!AF25)</f>
        <v/>
      </c>
      <c r="AH41" s="615" t="str">
        <f>IF(Summary_Products!AG25="","",Summary_Products!AG25)</f>
        <v/>
      </c>
      <c r="AI41" s="615" t="str">
        <f>IF(Summary_Products!AH25="","",Summary_Products!AH25)</f>
        <v/>
      </c>
      <c r="AJ41" s="615" t="str">
        <f>IF(Summary_Products!AI25="","",Summary_Products!AI25)</f>
        <v/>
      </c>
      <c r="AK41" s="615" t="str">
        <f>IF(Summary_Products!AJ25="","",Summary_Products!AJ25)</f>
        <v/>
      </c>
      <c r="AL41" s="615" t="str">
        <f>IF(Summary_Products!AK25="","",Summary_Products!AK25)</f>
        <v/>
      </c>
      <c r="AM41" s="421" t="str">
        <f>IF(Summary_Products!AL25="","",INDEX(Translations!$C:$C,MATCH(Summary_Products!AL25,Translations!$B:$B,0)))</f>
        <v/>
      </c>
      <c r="AN41" s="615" t="str">
        <f>IF(Summary_Products!AM25="","",Summary_Products!AM25)</f>
        <v/>
      </c>
      <c r="AO41" s="473" t="str">
        <f>IF(Summary_Products!AN25="","",Summary_Products!AN25)</f>
        <v/>
      </c>
      <c r="AP41" s="474" t="str">
        <f>IF(Summary_Products!AO25="","",Summary_Products!AO25)</f>
        <v/>
      </c>
      <c r="AQ41" s="160" t="str">
        <f>IF(Summary_Products!AP25="","",Summary_Products!AP25)</f>
        <v/>
      </c>
      <c r="AR41" s="477" t="str">
        <f>IF(Summary_Products!AR25="","",Summary_Products!AR25)</f>
        <v/>
      </c>
      <c r="AS41" s="474" t="str">
        <f>IF(Summary_Products!AS25="","",Summary_Products!AS25)</f>
        <v/>
      </c>
      <c r="AT41" s="421" t="str">
        <f>IF(Summary_Products!AT25="","",INDEX(Translations!$C:$C,MATCH(Summary_Products!AT25,Translations!$B:$B,0)))</f>
        <v/>
      </c>
      <c r="AU41" s="615" t="str">
        <f>IF(Summary_Products!AU25="","",Summary_Products!AU25)</f>
        <v/>
      </c>
      <c r="AV41" s="473" t="str">
        <f>IF(Summary_Products!AV25="","",Summary_Products!AV25)</f>
        <v/>
      </c>
      <c r="AW41" s="474" t="str">
        <f>IF(Summary_Products!AW25="","",Summary_Products!AW25)</f>
        <v/>
      </c>
      <c r="AX41" s="477" t="str">
        <f>IF(Summary_Products!AX25="","",Summary_Products!AX25)</f>
        <v/>
      </c>
      <c r="AY41" s="474" t="str">
        <f>IF(Summary_Products!AY25="","",Summary_Products!AY25)</f>
        <v/>
      </c>
      <c r="AZ41" s="477" t="str">
        <f>IF(Summary_Products!AZ25="","",Summary_Products!AZ25)</f>
        <v/>
      </c>
      <c r="BA41" s="478" t="str">
        <f>IF(Summary_Products!BA25="","",Summary_Products!BA25)</f>
        <v/>
      </c>
      <c r="BD41" s="156"/>
      <c r="BE41" s="156"/>
      <c r="BF41" s="156"/>
      <c r="BG41" s="156"/>
    </row>
    <row r="42" spans="2:59"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782" t="str">
        <f t="shared" si="0"/>
        <v/>
      </c>
      <c r="Q42" s="160" t="str">
        <f>IF(Summary_Products!P26="","",INDEX(Translations!$C:$C,MATCH(Summary_Products!P26,Translations!$B:$B,0)))</f>
        <v/>
      </c>
      <c r="R42" s="160" t="str">
        <f>IF(Summary_Products!Q26="","",Summary_Products!Q26)</f>
        <v/>
      </c>
      <c r="S42" s="615" t="str">
        <f>IF(Summary_Products!R26="","",Summary_Products!R26)</f>
        <v/>
      </c>
      <c r="T42" s="615" t="str">
        <f>IF(Summary_Products!S26="","",Summary_Products!S26)</f>
        <v/>
      </c>
      <c r="U42" s="615" t="str">
        <f>IF(Summary_Products!T26="","",Summary_Products!T26)</f>
        <v/>
      </c>
      <c r="V42" s="615" t="str">
        <f>IF(Summary_Products!U26="","",Summary_Products!U26)</f>
        <v/>
      </c>
      <c r="W42" s="615" t="str">
        <f>IF(Summary_Products!V26="","",Summary_Products!V26)</f>
        <v/>
      </c>
      <c r="X42" s="615" t="str">
        <f>IF(Summary_Products!W26="","",Summary_Products!W26)</f>
        <v/>
      </c>
      <c r="Y42" s="615" t="str">
        <f>IF(Summary_Products!X26="","",Summary_Products!X26)</f>
        <v/>
      </c>
      <c r="Z42" s="615" t="str">
        <f>IF(Summary_Products!Y26="","",Summary_Products!Y26)</f>
        <v/>
      </c>
      <c r="AA42" s="615" t="str">
        <f>IF(Summary_Products!Z26="","",Summary_Products!Z26)</f>
        <v/>
      </c>
      <c r="AB42" s="615" t="str">
        <f>IF(Summary_Products!AA26="","",Summary_Products!AA26)</f>
        <v/>
      </c>
      <c r="AC42" s="615" t="str">
        <f>IF(Summary_Products!AB26="","",Summary_Products!AB26)</f>
        <v/>
      </c>
      <c r="AD42" s="615" t="str">
        <f>IF(Summary_Products!AC26="","",Summary_Products!AC26)</f>
        <v/>
      </c>
      <c r="AE42" s="615" t="str">
        <f>IF(Summary_Products!AD26="","",Summary_Products!AD26)</f>
        <v/>
      </c>
      <c r="AF42" s="615" t="str">
        <f>IF(Summary_Products!AE26="","",Summary_Products!AE26)</f>
        <v/>
      </c>
      <c r="AG42" s="615" t="str">
        <f>IF(Summary_Products!AF26="","",Summary_Products!AF26)</f>
        <v/>
      </c>
      <c r="AH42" s="615" t="str">
        <f>IF(Summary_Products!AG26="","",Summary_Products!AG26)</f>
        <v/>
      </c>
      <c r="AI42" s="615" t="str">
        <f>IF(Summary_Products!AH26="","",Summary_Products!AH26)</f>
        <v/>
      </c>
      <c r="AJ42" s="615" t="str">
        <f>IF(Summary_Products!AI26="","",Summary_Products!AI26)</f>
        <v/>
      </c>
      <c r="AK42" s="615" t="str">
        <f>IF(Summary_Products!AJ26="","",Summary_Products!AJ26)</f>
        <v/>
      </c>
      <c r="AL42" s="615" t="str">
        <f>IF(Summary_Products!AK26="","",Summary_Products!AK26)</f>
        <v/>
      </c>
      <c r="AM42" s="421" t="str">
        <f>IF(Summary_Products!AL26="","",INDEX(Translations!$C:$C,MATCH(Summary_Products!AL26,Translations!$B:$B,0)))</f>
        <v/>
      </c>
      <c r="AN42" s="615" t="str">
        <f>IF(Summary_Products!AM26="","",Summary_Products!AM26)</f>
        <v/>
      </c>
      <c r="AO42" s="473" t="str">
        <f>IF(Summary_Products!AN26="","",Summary_Products!AN26)</f>
        <v/>
      </c>
      <c r="AP42" s="474" t="str">
        <f>IF(Summary_Products!AO26="","",Summary_Products!AO26)</f>
        <v/>
      </c>
      <c r="AQ42" s="160" t="str">
        <f>IF(Summary_Products!AP26="","",Summary_Products!AP26)</f>
        <v/>
      </c>
      <c r="AR42" s="477" t="str">
        <f>IF(Summary_Products!AR26="","",Summary_Products!AR26)</f>
        <v/>
      </c>
      <c r="AS42" s="474" t="str">
        <f>IF(Summary_Products!AS26="","",Summary_Products!AS26)</f>
        <v/>
      </c>
      <c r="AT42" s="421" t="str">
        <f>IF(Summary_Products!AT26="","",INDEX(Translations!$C:$C,MATCH(Summary_Products!AT26,Translations!$B:$B,0)))</f>
        <v/>
      </c>
      <c r="AU42" s="615" t="str">
        <f>IF(Summary_Products!AU26="","",Summary_Products!AU26)</f>
        <v/>
      </c>
      <c r="AV42" s="473" t="str">
        <f>IF(Summary_Products!AV26="","",Summary_Products!AV26)</f>
        <v/>
      </c>
      <c r="AW42" s="474" t="str">
        <f>IF(Summary_Products!AW26="","",Summary_Products!AW26)</f>
        <v/>
      </c>
      <c r="AX42" s="477" t="str">
        <f>IF(Summary_Products!AX26="","",Summary_Products!AX26)</f>
        <v/>
      </c>
      <c r="AY42" s="474" t="str">
        <f>IF(Summary_Products!AY26="","",Summary_Products!AY26)</f>
        <v/>
      </c>
      <c r="AZ42" s="477" t="str">
        <f>IF(Summary_Products!AZ26="","",Summary_Products!AZ26)</f>
        <v/>
      </c>
      <c r="BA42" s="478" t="str">
        <f>IF(Summary_Products!BA26="","",Summary_Products!BA26)</f>
        <v/>
      </c>
      <c r="BD42" s="156"/>
      <c r="BE42" s="156"/>
      <c r="BF42" s="156"/>
      <c r="BG42" s="156"/>
    </row>
    <row r="43" spans="2:59"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782" t="str">
        <f t="shared" si="0"/>
        <v/>
      </c>
      <c r="Q43" s="160" t="str">
        <f>IF(Summary_Products!P27="","",INDEX(Translations!$C:$C,MATCH(Summary_Products!P27,Translations!$B:$B,0)))</f>
        <v/>
      </c>
      <c r="R43" s="160" t="str">
        <f>IF(Summary_Products!Q27="","",Summary_Products!Q27)</f>
        <v/>
      </c>
      <c r="S43" s="615" t="str">
        <f>IF(Summary_Products!R27="","",Summary_Products!R27)</f>
        <v/>
      </c>
      <c r="T43" s="615" t="str">
        <f>IF(Summary_Products!S27="","",Summary_Products!S27)</f>
        <v/>
      </c>
      <c r="U43" s="615" t="str">
        <f>IF(Summary_Products!T27="","",Summary_Products!T27)</f>
        <v/>
      </c>
      <c r="V43" s="615" t="str">
        <f>IF(Summary_Products!U27="","",Summary_Products!U27)</f>
        <v/>
      </c>
      <c r="W43" s="615" t="str">
        <f>IF(Summary_Products!V27="","",Summary_Products!V27)</f>
        <v/>
      </c>
      <c r="X43" s="615" t="str">
        <f>IF(Summary_Products!W27="","",Summary_Products!W27)</f>
        <v/>
      </c>
      <c r="Y43" s="615" t="str">
        <f>IF(Summary_Products!X27="","",Summary_Products!X27)</f>
        <v/>
      </c>
      <c r="Z43" s="615" t="str">
        <f>IF(Summary_Products!Y27="","",Summary_Products!Y27)</f>
        <v/>
      </c>
      <c r="AA43" s="615" t="str">
        <f>IF(Summary_Products!Z27="","",Summary_Products!Z27)</f>
        <v/>
      </c>
      <c r="AB43" s="615" t="str">
        <f>IF(Summary_Products!AA27="","",Summary_Products!AA27)</f>
        <v/>
      </c>
      <c r="AC43" s="615" t="str">
        <f>IF(Summary_Products!AB27="","",Summary_Products!AB27)</f>
        <v/>
      </c>
      <c r="AD43" s="615" t="str">
        <f>IF(Summary_Products!AC27="","",Summary_Products!AC27)</f>
        <v/>
      </c>
      <c r="AE43" s="615" t="str">
        <f>IF(Summary_Products!AD27="","",Summary_Products!AD27)</f>
        <v/>
      </c>
      <c r="AF43" s="615" t="str">
        <f>IF(Summary_Products!AE27="","",Summary_Products!AE27)</f>
        <v/>
      </c>
      <c r="AG43" s="615" t="str">
        <f>IF(Summary_Products!AF27="","",Summary_Products!AF27)</f>
        <v/>
      </c>
      <c r="AH43" s="615" t="str">
        <f>IF(Summary_Products!AG27="","",Summary_Products!AG27)</f>
        <v/>
      </c>
      <c r="AI43" s="615" t="str">
        <f>IF(Summary_Products!AH27="","",Summary_Products!AH27)</f>
        <v/>
      </c>
      <c r="AJ43" s="615" t="str">
        <f>IF(Summary_Products!AI27="","",Summary_Products!AI27)</f>
        <v/>
      </c>
      <c r="AK43" s="615" t="str">
        <f>IF(Summary_Products!AJ27="","",Summary_Products!AJ27)</f>
        <v/>
      </c>
      <c r="AL43" s="615" t="str">
        <f>IF(Summary_Products!AK27="","",Summary_Products!AK27)</f>
        <v/>
      </c>
      <c r="AM43" s="421" t="str">
        <f>IF(Summary_Products!AL27="","",INDEX(Translations!$C:$C,MATCH(Summary_Products!AL27,Translations!$B:$B,0)))</f>
        <v/>
      </c>
      <c r="AN43" s="615" t="str">
        <f>IF(Summary_Products!AM27="","",Summary_Products!AM27)</f>
        <v/>
      </c>
      <c r="AO43" s="473" t="str">
        <f>IF(Summary_Products!AN27="","",Summary_Products!AN27)</f>
        <v/>
      </c>
      <c r="AP43" s="474" t="str">
        <f>IF(Summary_Products!AO27="","",Summary_Products!AO27)</f>
        <v/>
      </c>
      <c r="AQ43" s="160" t="str">
        <f>IF(Summary_Products!AP27="","",Summary_Products!AP27)</f>
        <v/>
      </c>
      <c r="AR43" s="477" t="str">
        <f>IF(Summary_Products!AR27="","",Summary_Products!AR27)</f>
        <v/>
      </c>
      <c r="AS43" s="474" t="str">
        <f>IF(Summary_Products!AS27="","",Summary_Products!AS27)</f>
        <v/>
      </c>
      <c r="AT43" s="421" t="str">
        <f>IF(Summary_Products!AT27="","",INDEX(Translations!$C:$C,MATCH(Summary_Products!AT27,Translations!$B:$B,0)))</f>
        <v/>
      </c>
      <c r="AU43" s="615" t="str">
        <f>IF(Summary_Products!AU27="","",Summary_Products!AU27)</f>
        <v/>
      </c>
      <c r="AV43" s="473" t="str">
        <f>IF(Summary_Products!AV27="","",Summary_Products!AV27)</f>
        <v/>
      </c>
      <c r="AW43" s="474" t="str">
        <f>IF(Summary_Products!AW27="","",Summary_Products!AW27)</f>
        <v/>
      </c>
      <c r="AX43" s="477" t="str">
        <f>IF(Summary_Products!AX27="","",Summary_Products!AX27)</f>
        <v/>
      </c>
      <c r="AY43" s="474" t="str">
        <f>IF(Summary_Products!AY27="","",Summary_Products!AY27)</f>
        <v/>
      </c>
      <c r="AZ43" s="477" t="str">
        <f>IF(Summary_Products!AZ27="","",Summary_Products!AZ27)</f>
        <v/>
      </c>
      <c r="BA43" s="478" t="str">
        <f>IF(Summary_Products!BA27="","",Summary_Products!BA27)</f>
        <v/>
      </c>
      <c r="BD43" s="156"/>
      <c r="BE43" s="156"/>
      <c r="BF43" s="156"/>
      <c r="BG43" s="156"/>
    </row>
    <row r="44" spans="2:59"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782" t="str">
        <f t="shared" si="0"/>
        <v/>
      </c>
      <c r="Q44" s="160" t="str">
        <f>IF(Summary_Products!P28="","",INDEX(Translations!$C:$C,MATCH(Summary_Products!P28,Translations!$B:$B,0)))</f>
        <v/>
      </c>
      <c r="R44" s="160" t="str">
        <f>IF(Summary_Products!Q28="","",Summary_Products!Q28)</f>
        <v/>
      </c>
      <c r="S44" s="615" t="str">
        <f>IF(Summary_Products!R28="","",Summary_Products!R28)</f>
        <v/>
      </c>
      <c r="T44" s="615" t="str">
        <f>IF(Summary_Products!S28="","",Summary_Products!S28)</f>
        <v/>
      </c>
      <c r="U44" s="615" t="str">
        <f>IF(Summary_Products!T28="","",Summary_Products!T28)</f>
        <v/>
      </c>
      <c r="V44" s="615" t="str">
        <f>IF(Summary_Products!U28="","",Summary_Products!U28)</f>
        <v/>
      </c>
      <c r="W44" s="615" t="str">
        <f>IF(Summary_Products!V28="","",Summary_Products!V28)</f>
        <v/>
      </c>
      <c r="X44" s="615" t="str">
        <f>IF(Summary_Products!W28="","",Summary_Products!W28)</f>
        <v/>
      </c>
      <c r="Y44" s="615" t="str">
        <f>IF(Summary_Products!X28="","",Summary_Products!X28)</f>
        <v/>
      </c>
      <c r="Z44" s="615" t="str">
        <f>IF(Summary_Products!Y28="","",Summary_Products!Y28)</f>
        <v/>
      </c>
      <c r="AA44" s="615" t="str">
        <f>IF(Summary_Products!Z28="","",Summary_Products!Z28)</f>
        <v/>
      </c>
      <c r="AB44" s="615" t="str">
        <f>IF(Summary_Products!AA28="","",Summary_Products!AA28)</f>
        <v/>
      </c>
      <c r="AC44" s="615" t="str">
        <f>IF(Summary_Products!AB28="","",Summary_Products!AB28)</f>
        <v/>
      </c>
      <c r="AD44" s="615" t="str">
        <f>IF(Summary_Products!AC28="","",Summary_Products!AC28)</f>
        <v/>
      </c>
      <c r="AE44" s="615" t="str">
        <f>IF(Summary_Products!AD28="","",Summary_Products!AD28)</f>
        <v/>
      </c>
      <c r="AF44" s="615" t="str">
        <f>IF(Summary_Products!AE28="","",Summary_Products!AE28)</f>
        <v/>
      </c>
      <c r="AG44" s="615" t="str">
        <f>IF(Summary_Products!AF28="","",Summary_Products!AF28)</f>
        <v/>
      </c>
      <c r="AH44" s="615" t="str">
        <f>IF(Summary_Products!AG28="","",Summary_Products!AG28)</f>
        <v/>
      </c>
      <c r="AI44" s="615" t="str">
        <f>IF(Summary_Products!AH28="","",Summary_Products!AH28)</f>
        <v/>
      </c>
      <c r="AJ44" s="615" t="str">
        <f>IF(Summary_Products!AI28="","",Summary_Products!AI28)</f>
        <v/>
      </c>
      <c r="AK44" s="615" t="str">
        <f>IF(Summary_Products!AJ28="","",Summary_Products!AJ28)</f>
        <v/>
      </c>
      <c r="AL44" s="615" t="str">
        <f>IF(Summary_Products!AK28="","",Summary_Products!AK28)</f>
        <v/>
      </c>
      <c r="AM44" s="421" t="str">
        <f>IF(Summary_Products!AL28="","",INDEX(Translations!$C:$C,MATCH(Summary_Products!AL28,Translations!$B:$B,0)))</f>
        <v/>
      </c>
      <c r="AN44" s="615" t="str">
        <f>IF(Summary_Products!AM28="","",Summary_Products!AM28)</f>
        <v/>
      </c>
      <c r="AO44" s="473" t="str">
        <f>IF(Summary_Products!AN28="","",Summary_Products!AN28)</f>
        <v/>
      </c>
      <c r="AP44" s="474" t="str">
        <f>IF(Summary_Products!AO28="","",Summary_Products!AO28)</f>
        <v/>
      </c>
      <c r="AQ44" s="160" t="str">
        <f>IF(Summary_Products!AP28="","",Summary_Products!AP28)</f>
        <v/>
      </c>
      <c r="AR44" s="477" t="str">
        <f>IF(Summary_Products!AR28="","",Summary_Products!AR28)</f>
        <v/>
      </c>
      <c r="AS44" s="474" t="str">
        <f>IF(Summary_Products!AS28="","",Summary_Products!AS28)</f>
        <v/>
      </c>
      <c r="AT44" s="421" t="str">
        <f>IF(Summary_Products!AT28="","",INDEX(Translations!$C:$C,MATCH(Summary_Products!AT28,Translations!$B:$B,0)))</f>
        <v/>
      </c>
      <c r="AU44" s="615" t="str">
        <f>IF(Summary_Products!AU28="","",Summary_Products!AU28)</f>
        <v/>
      </c>
      <c r="AV44" s="473" t="str">
        <f>IF(Summary_Products!AV28="","",Summary_Products!AV28)</f>
        <v/>
      </c>
      <c r="AW44" s="474" t="str">
        <f>IF(Summary_Products!AW28="","",Summary_Products!AW28)</f>
        <v/>
      </c>
      <c r="AX44" s="477" t="str">
        <f>IF(Summary_Products!AX28="","",Summary_Products!AX28)</f>
        <v/>
      </c>
      <c r="AY44" s="474" t="str">
        <f>IF(Summary_Products!AY28="","",Summary_Products!AY28)</f>
        <v/>
      </c>
      <c r="AZ44" s="477" t="str">
        <f>IF(Summary_Products!AZ28="","",Summary_Products!AZ28)</f>
        <v/>
      </c>
      <c r="BA44" s="478" t="str">
        <f>IF(Summary_Products!BA28="","",Summary_Products!BA28)</f>
        <v/>
      </c>
      <c r="BD44" s="156"/>
      <c r="BE44" s="156"/>
      <c r="BF44" s="156"/>
      <c r="BG44" s="156"/>
    </row>
    <row r="45" spans="2:59"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782" t="str">
        <f t="shared" si="0"/>
        <v/>
      </c>
      <c r="Q45" s="160" t="str">
        <f>IF(Summary_Products!P29="","",INDEX(Translations!$C:$C,MATCH(Summary_Products!P29,Translations!$B:$B,0)))</f>
        <v/>
      </c>
      <c r="R45" s="160" t="str">
        <f>IF(Summary_Products!Q29="","",Summary_Products!Q29)</f>
        <v/>
      </c>
      <c r="S45" s="615" t="str">
        <f>IF(Summary_Products!R29="","",Summary_Products!R29)</f>
        <v/>
      </c>
      <c r="T45" s="615" t="str">
        <f>IF(Summary_Products!S29="","",Summary_Products!S29)</f>
        <v/>
      </c>
      <c r="U45" s="615" t="str">
        <f>IF(Summary_Products!T29="","",Summary_Products!T29)</f>
        <v/>
      </c>
      <c r="V45" s="615" t="str">
        <f>IF(Summary_Products!U29="","",Summary_Products!U29)</f>
        <v/>
      </c>
      <c r="W45" s="615" t="str">
        <f>IF(Summary_Products!V29="","",Summary_Products!V29)</f>
        <v/>
      </c>
      <c r="X45" s="615" t="str">
        <f>IF(Summary_Products!W29="","",Summary_Products!W29)</f>
        <v/>
      </c>
      <c r="Y45" s="615" t="str">
        <f>IF(Summary_Products!X29="","",Summary_Products!X29)</f>
        <v/>
      </c>
      <c r="Z45" s="615" t="str">
        <f>IF(Summary_Products!Y29="","",Summary_Products!Y29)</f>
        <v/>
      </c>
      <c r="AA45" s="615" t="str">
        <f>IF(Summary_Products!Z29="","",Summary_Products!Z29)</f>
        <v/>
      </c>
      <c r="AB45" s="615" t="str">
        <f>IF(Summary_Products!AA29="","",Summary_Products!AA29)</f>
        <v/>
      </c>
      <c r="AC45" s="615" t="str">
        <f>IF(Summary_Products!AB29="","",Summary_Products!AB29)</f>
        <v/>
      </c>
      <c r="AD45" s="615" t="str">
        <f>IF(Summary_Products!AC29="","",Summary_Products!AC29)</f>
        <v/>
      </c>
      <c r="AE45" s="615" t="str">
        <f>IF(Summary_Products!AD29="","",Summary_Products!AD29)</f>
        <v/>
      </c>
      <c r="AF45" s="615" t="str">
        <f>IF(Summary_Products!AE29="","",Summary_Products!AE29)</f>
        <v/>
      </c>
      <c r="AG45" s="615" t="str">
        <f>IF(Summary_Products!AF29="","",Summary_Products!AF29)</f>
        <v/>
      </c>
      <c r="AH45" s="615" t="str">
        <f>IF(Summary_Products!AG29="","",Summary_Products!AG29)</f>
        <v/>
      </c>
      <c r="AI45" s="615" t="str">
        <f>IF(Summary_Products!AH29="","",Summary_Products!AH29)</f>
        <v/>
      </c>
      <c r="AJ45" s="615" t="str">
        <f>IF(Summary_Products!AI29="","",Summary_Products!AI29)</f>
        <v/>
      </c>
      <c r="AK45" s="615" t="str">
        <f>IF(Summary_Products!AJ29="","",Summary_Products!AJ29)</f>
        <v/>
      </c>
      <c r="AL45" s="615" t="str">
        <f>IF(Summary_Products!AK29="","",Summary_Products!AK29)</f>
        <v/>
      </c>
      <c r="AM45" s="421" t="str">
        <f>IF(Summary_Products!AL29="","",INDEX(Translations!$C:$C,MATCH(Summary_Products!AL29,Translations!$B:$B,0)))</f>
        <v/>
      </c>
      <c r="AN45" s="615" t="str">
        <f>IF(Summary_Products!AM29="","",Summary_Products!AM29)</f>
        <v/>
      </c>
      <c r="AO45" s="473" t="str">
        <f>IF(Summary_Products!AN29="","",Summary_Products!AN29)</f>
        <v/>
      </c>
      <c r="AP45" s="474" t="str">
        <f>IF(Summary_Products!AO29="","",Summary_Products!AO29)</f>
        <v/>
      </c>
      <c r="AQ45" s="160" t="str">
        <f>IF(Summary_Products!AP29="","",Summary_Products!AP29)</f>
        <v/>
      </c>
      <c r="AR45" s="477" t="str">
        <f>IF(Summary_Products!AR29="","",Summary_Products!AR29)</f>
        <v/>
      </c>
      <c r="AS45" s="474" t="str">
        <f>IF(Summary_Products!AS29="","",Summary_Products!AS29)</f>
        <v/>
      </c>
      <c r="AT45" s="421" t="str">
        <f>IF(Summary_Products!AT29="","",INDEX(Translations!$C:$C,MATCH(Summary_Products!AT29,Translations!$B:$B,0)))</f>
        <v/>
      </c>
      <c r="AU45" s="615" t="str">
        <f>IF(Summary_Products!AU29="","",Summary_Products!AU29)</f>
        <v/>
      </c>
      <c r="AV45" s="473" t="str">
        <f>IF(Summary_Products!AV29="","",Summary_Products!AV29)</f>
        <v/>
      </c>
      <c r="AW45" s="474" t="str">
        <f>IF(Summary_Products!AW29="","",Summary_Products!AW29)</f>
        <v/>
      </c>
      <c r="AX45" s="477" t="str">
        <f>IF(Summary_Products!AX29="","",Summary_Products!AX29)</f>
        <v/>
      </c>
      <c r="AY45" s="474" t="str">
        <f>IF(Summary_Products!AY29="","",Summary_Products!AY29)</f>
        <v/>
      </c>
      <c r="AZ45" s="477" t="str">
        <f>IF(Summary_Products!AZ29="","",Summary_Products!AZ29)</f>
        <v/>
      </c>
      <c r="BA45" s="478" t="str">
        <f>IF(Summary_Products!BA29="","",Summary_Products!BA29)</f>
        <v/>
      </c>
      <c r="BD45" s="156"/>
      <c r="BE45" s="156"/>
      <c r="BF45" s="156"/>
      <c r="BG45" s="156"/>
    </row>
    <row r="46" spans="2:59"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782" t="str">
        <f t="shared" si="0"/>
        <v/>
      </c>
      <c r="Q46" s="160" t="str">
        <f>IF(Summary_Products!P30="","",INDEX(Translations!$C:$C,MATCH(Summary_Products!P30,Translations!$B:$B,0)))</f>
        <v/>
      </c>
      <c r="R46" s="160" t="str">
        <f>IF(Summary_Products!Q30="","",Summary_Products!Q30)</f>
        <v/>
      </c>
      <c r="S46" s="615" t="str">
        <f>IF(Summary_Products!R30="","",Summary_Products!R30)</f>
        <v/>
      </c>
      <c r="T46" s="615" t="str">
        <f>IF(Summary_Products!S30="","",Summary_Products!S30)</f>
        <v/>
      </c>
      <c r="U46" s="615" t="str">
        <f>IF(Summary_Products!T30="","",Summary_Products!T30)</f>
        <v/>
      </c>
      <c r="V46" s="615" t="str">
        <f>IF(Summary_Products!U30="","",Summary_Products!U30)</f>
        <v/>
      </c>
      <c r="W46" s="615" t="str">
        <f>IF(Summary_Products!V30="","",Summary_Products!V30)</f>
        <v/>
      </c>
      <c r="X46" s="615" t="str">
        <f>IF(Summary_Products!W30="","",Summary_Products!W30)</f>
        <v/>
      </c>
      <c r="Y46" s="615" t="str">
        <f>IF(Summary_Products!X30="","",Summary_Products!X30)</f>
        <v/>
      </c>
      <c r="Z46" s="615" t="str">
        <f>IF(Summary_Products!Y30="","",Summary_Products!Y30)</f>
        <v/>
      </c>
      <c r="AA46" s="615" t="str">
        <f>IF(Summary_Products!Z30="","",Summary_Products!Z30)</f>
        <v/>
      </c>
      <c r="AB46" s="615" t="str">
        <f>IF(Summary_Products!AA30="","",Summary_Products!AA30)</f>
        <v/>
      </c>
      <c r="AC46" s="615" t="str">
        <f>IF(Summary_Products!AB30="","",Summary_Products!AB30)</f>
        <v/>
      </c>
      <c r="AD46" s="615" t="str">
        <f>IF(Summary_Products!AC30="","",Summary_Products!AC30)</f>
        <v/>
      </c>
      <c r="AE46" s="615" t="str">
        <f>IF(Summary_Products!AD30="","",Summary_Products!AD30)</f>
        <v/>
      </c>
      <c r="AF46" s="615" t="str">
        <f>IF(Summary_Products!AE30="","",Summary_Products!AE30)</f>
        <v/>
      </c>
      <c r="AG46" s="615" t="str">
        <f>IF(Summary_Products!AF30="","",Summary_Products!AF30)</f>
        <v/>
      </c>
      <c r="AH46" s="615" t="str">
        <f>IF(Summary_Products!AG30="","",Summary_Products!AG30)</f>
        <v/>
      </c>
      <c r="AI46" s="615" t="str">
        <f>IF(Summary_Products!AH30="","",Summary_Products!AH30)</f>
        <v/>
      </c>
      <c r="AJ46" s="615" t="str">
        <f>IF(Summary_Products!AI30="","",Summary_Products!AI30)</f>
        <v/>
      </c>
      <c r="AK46" s="615" t="str">
        <f>IF(Summary_Products!AJ30="","",Summary_Products!AJ30)</f>
        <v/>
      </c>
      <c r="AL46" s="615" t="str">
        <f>IF(Summary_Products!AK30="","",Summary_Products!AK30)</f>
        <v/>
      </c>
      <c r="AM46" s="421" t="str">
        <f>IF(Summary_Products!AL30="","",INDEX(Translations!$C:$C,MATCH(Summary_Products!AL30,Translations!$B:$B,0)))</f>
        <v/>
      </c>
      <c r="AN46" s="615" t="str">
        <f>IF(Summary_Products!AM30="","",Summary_Products!AM30)</f>
        <v/>
      </c>
      <c r="AO46" s="473" t="str">
        <f>IF(Summary_Products!AN30="","",Summary_Products!AN30)</f>
        <v/>
      </c>
      <c r="AP46" s="474" t="str">
        <f>IF(Summary_Products!AO30="","",Summary_Products!AO30)</f>
        <v/>
      </c>
      <c r="AQ46" s="160" t="str">
        <f>IF(Summary_Products!AP30="","",Summary_Products!AP30)</f>
        <v/>
      </c>
      <c r="AR46" s="477" t="str">
        <f>IF(Summary_Products!AR30="","",Summary_Products!AR30)</f>
        <v/>
      </c>
      <c r="AS46" s="474" t="str">
        <f>IF(Summary_Products!AS30="","",Summary_Products!AS30)</f>
        <v/>
      </c>
      <c r="AT46" s="421" t="str">
        <f>IF(Summary_Products!AT30="","",INDEX(Translations!$C:$C,MATCH(Summary_Products!AT30,Translations!$B:$B,0)))</f>
        <v/>
      </c>
      <c r="AU46" s="615" t="str">
        <f>IF(Summary_Products!AU30="","",Summary_Products!AU30)</f>
        <v/>
      </c>
      <c r="AV46" s="473" t="str">
        <f>IF(Summary_Products!AV30="","",Summary_Products!AV30)</f>
        <v/>
      </c>
      <c r="AW46" s="474" t="str">
        <f>IF(Summary_Products!AW30="","",Summary_Products!AW30)</f>
        <v/>
      </c>
      <c r="AX46" s="477" t="str">
        <f>IF(Summary_Products!AX30="","",Summary_Products!AX30)</f>
        <v/>
      </c>
      <c r="AY46" s="474" t="str">
        <f>IF(Summary_Products!AY30="","",Summary_Products!AY30)</f>
        <v/>
      </c>
      <c r="AZ46" s="477" t="str">
        <f>IF(Summary_Products!AZ30="","",Summary_Products!AZ30)</f>
        <v/>
      </c>
      <c r="BA46" s="478" t="str">
        <f>IF(Summary_Products!BA30="","",Summary_Products!BA30)</f>
        <v/>
      </c>
      <c r="BD46" s="156"/>
      <c r="BE46" s="156"/>
      <c r="BF46" s="156"/>
      <c r="BG46" s="156"/>
    </row>
    <row r="47" spans="2:59"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782" t="str">
        <f t="shared" si="0"/>
        <v/>
      </c>
      <c r="Q47" s="160" t="str">
        <f>IF(Summary_Products!P31="","",INDEX(Translations!$C:$C,MATCH(Summary_Products!P31,Translations!$B:$B,0)))</f>
        <v/>
      </c>
      <c r="R47" s="160" t="str">
        <f>IF(Summary_Products!Q31="","",Summary_Products!Q31)</f>
        <v/>
      </c>
      <c r="S47" s="615" t="str">
        <f>IF(Summary_Products!R31="","",Summary_Products!R31)</f>
        <v/>
      </c>
      <c r="T47" s="615" t="str">
        <f>IF(Summary_Products!S31="","",Summary_Products!S31)</f>
        <v/>
      </c>
      <c r="U47" s="615" t="str">
        <f>IF(Summary_Products!T31="","",Summary_Products!T31)</f>
        <v/>
      </c>
      <c r="V47" s="615" t="str">
        <f>IF(Summary_Products!U31="","",Summary_Products!U31)</f>
        <v/>
      </c>
      <c r="W47" s="615" t="str">
        <f>IF(Summary_Products!V31="","",Summary_Products!V31)</f>
        <v/>
      </c>
      <c r="X47" s="615" t="str">
        <f>IF(Summary_Products!W31="","",Summary_Products!W31)</f>
        <v/>
      </c>
      <c r="Y47" s="615" t="str">
        <f>IF(Summary_Products!X31="","",Summary_Products!X31)</f>
        <v/>
      </c>
      <c r="Z47" s="615" t="str">
        <f>IF(Summary_Products!Y31="","",Summary_Products!Y31)</f>
        <v/>
      </c>
      <c r="AA47" s="615" t="str">
        <f>IF(Summary_Products!Z31="","",Summary_Products!Z31)</f>
        <v/>
      </c>
      <c r="AB47" s="615" t="str">
        <f>IF(Summary_Products!AA31="","",Summary_Products!AA31)</f>
        <v/>
      </c>
      <c r="AC47" s="615" t="str">
        <f>IF(Summary_Products!AB31="","",Summary_Products!AB31)</f>
        <v/>
      </c>
      <c r="AD47" s="615" t="str">
        <f>IF(Summary_Products!AC31="","",Summary_Products!AC31)</f>
        <v/>
      </c>
      <c r="AE47" s="615" t="str">
        <f>IF(Summary_Products!AD31="","",Summary_Products!AD31)</f>
        <v/>
      </c>
      <c r="AF47" s="615" t="str">
        <f>IF(Summary_Products!AE31="","",Summary_Products!AE31)</f>
        <v/>
      </c>
      <c r="AG47" s="615" t="str">
        <f>IF(Summary_Products!AF31="","",Summary_Products!AF31)</f>
        <v/>
      </c>
      <c r="AH47" s="615" t="str">
        <f>IF(Summary_Products!AG31="","",Summary_Products!AG31)</f>
        <v/>
      </c>
      <c r="AI47" s="615" t="str">
        <f>IF(Summary_Products!AH31="","",Summary_Products!AH31)</f>
        <v/>
      </c>
      <c r="AJ47" s="615" t="str">
        <f>IF(Summary_Products!AI31="","",Summary_Products!AI31)</f>
        <v/>
      </c>
      <c r="AK47" s="615" t="str">
        <f>IF(Summary_Products!AJ31="","",Summary_Products!AJ31)</f>
        <v/>
      </c>
      <c r="AL47" s="615" t="str">
        <f>IF(Summary_Products!AK31="","",Summary_Products!AK31)</f>
        <v/>
      </c>
      <c r="AM47" s="421" t="str">
        <f>IF(Summary_Products!AL31="","",INDEX(Translations!$C:$C,MATCH(Summary_Products!AL31,Translations!$B:$B,0)))</f>
        <v/>
      </c>
      <c r="AN47" s="615" t="str">
        <f>IF(Summary_Products!AM31="","",Summary_Products!AM31)</f>
        <v/>
      </c>
      <c r="AO47" s="473" t="str">
        <f>IF(Summary_Products!AN31="","",Summary_Products!AN31)</f>
        <v/>
      </c>
      <c r="AP47" s="474" t="str">
        <f>IF(Summary_Products!AO31="","",Summary_Products!AO31)</f>
        <v/>
      </c>
      <c r="AQ47" s="160" t="str">
        <f>IF(Summary_Products!AP31="","",Summary_Products!AP31)</f>
        <v/>
      </c>
      <c r="AR47" s="477" t="str">
        <f>IF(Summary_Products!AR31="","",Summary_Products!AR31)</f>
        <v/>
      </c>
      <c r="AS47" s="474" t="str">
        <f>IF(Summary_Products!AS31="","",Summary_Products!AS31)</f>
        <v/>
      </c>
      <c r="AT47" s="421" t="str">
        <f>IF(Summary_Products!AT31="","",INDEX(Translations!$C:$C,MATCH(Summary_Products!AT31,Translations!$B:$B,0)))</f>
        <v/>
      </c>
      <c r="AU47" s="615" t="str">
        <f>IF(Summary_Products!AU31="","",Summary_Products!AU31)</f>
        <v/>
      </c>
      <c r="AV47" s="473" t="str">
        <f>IF(Summary_Products!AV31="","",Summary_Products!AV31)</f>
        <v/>
      </c>
      <c r="AW47" s="474" t="str">
        <f>IF(Summary_Products!AW31="","",Summary_Products!AW31)</f>
        <v/>
      </c>
      <c r="AX47" s="477" t="str">
        <f>IF(Summary_Products!AX31="","",Summary_Products!AX31)</f>
        <v/>
      </c>
      <c r="AY47" s="474" t="str">
        <f>IF(Summary_Products!AY31="","",Summary_Products!AY31)</f>
        <v/>
      </c>
      <c r="AZ47" s="477" t="str">
        <f>IF(Summary_Products!AZ31="","",Summary_Products!AZ31)</f>
        <v/>
      </c>
      <c r="BA47" s="478" t="str">
        <f>IF(Summary_Products!BA31="","",Summary_Products!BA31)</f>
        <v/>
      </c>
      <c r="BD47" s="156"/>
      <c r="BE47" s="156"/>
      <c r="BF47" s="156"/>
      <c r="BG47" s="156"/>
    </row>
    <row r="48" spans="2:59"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782" t="str">
        <f t="shared" si="0"/>
        <v/>
      </c>
      <c r="Q48" s="160" t="str">
        <f>IF(Summary_Products!P32="","",INDEX(Translations!$C:$C,MATCH(Summary_Products!P32,Translations!$B:$B,0)))</f>
        <v/>
      </c>
      <c r="R48" s="160" t="str">
        <f>IF(Summary_Products!Q32="","",Summary_Products!Q32)</f>
        <v/>
      </c>
      <c r="S48" s="615" t="str">
        <f>IF(Summary_Products!R32="","",Summary_Products!R32)</f>
        <v/>
      </c>
      <c r="T48" s="615" t="str">
        <f>IF(Summary_Products!S32="","",Summary_Products!S32)</f>
        <v/>
      </c>
      <c r="U48" s="615" t="str">
        <f>IF(Summary_Products!T32="","",Summary_Products!T32)</f>
        <v/>
      </c>
      <c r="V48" s="615" t="str">
        <f>IF(Summary_Products!U32="","",Summary_Products!U32)</f>
        <v/>
      </c>
      <c r="W48" s="615" t="str">
        <f>IF(Summary_Products!V32="","",Summary_Products!V32)</f>
        <v/>
      </c>
      <c r="X48" s="615" t="str">
        <f>IF(Summary_Products!W32="","",Summary_Products!W32)</f>
        <v/>
      </c>
      <c r="Y48" s="615" t="str">
        <f>IF(Summary_Products!X32="","",Summary_Products!X32)</f>
        <v/>
      </c>
      <c r="Z48" s="615" t="str">
        <f>IF(Summary_Products!Y32="","",Summary_Products!Y32)</f>
        <v/>
      </c>
      <c r="AA48" s="615" t="str">
        <f>IF(Summary_Products!Z32="","",Summary_Products!Z32)</f>
        <v/>
      </c>
      <c r="AB48" s="615" t="str">
        <f>IF(Summary_Products!AA32="","",Summary_Products!AA32)</f>
        <v/>
      </c>
      <c r="AC48" s="615" t="str">
        <f>IF(Summary_Products!AB32="","",Summary_Products!AB32)</f>
        <v/>
      </c>
      <c r="AD48" s="615" t="str">
        <f>IF(Summary_Products!AC32="","",Summary_Products!AC32)</f>
        <v/>
      </c>
      <c r="AE48" s="615" t="str">
        <f>IF(Summary_Products!AD32="","",Summary_Products!AD32)</f>
        <v/>
      </c>
      <c r="AF48" s="615" t="str">
        <f>IF(Summary_Products!AE32="","",Summary_Products!AE32)</f>
        <v/>
      </c>
      <c r="AG48" s="615" t="str">
        <f>IF(Summary_Products!AF32="","",Summary_Products!AF32)</f>
        <v/>
      </c>
      <c r="AH48" s="615" t="str">
        <f>IF(Summary_Products!AG32="","",Summary_Products!AG32)</f>
        <v/>
      </c>
      <c r="AI48" s="615" t="str">
        <f>IF(Summary_Products!AH32="","",Summary_Products!AH32)</f>
        <v/>
      </c>
      <c r="AJ48" s="615" t="str">
        <f>IF(Summary_Products!AI32="","",Summary_Products!AI32)</f>
        <v/>
      </c>
      <c r="AK48" s="615" t="str">
        <f>IF(Summary_Products!AJ32="","",Summary_Products!AJ32)</f>
        <v/>
      </c>
      <c r="AL48" s="615" t="str">
        <f>IF(Summary_Products!AK32="","",Summary_Products!AK32)</f>
        <v/>
      </c>
      <c r="AM48" s="421" t="str">
        <f>IF(Summary_Products!AL32="","",INDEX(Translations!$C:$C,MATCH(Summary_Products!AL32,Translations!$B:$B,0)))</f>
        <v/>
      </c>
      <c r="AN48" s="615" t="str">
        <f>IF(Summary_Products!AM32="","",Summary_Products!AM32)</f>
        <v/>
      </c>
      <c r="AO48" s="473" t="str">
        <f>IF(Summary_Products!AN32="","",Summary_Products!AN32)</f>
        <v/>
      </c>
      <c r="AP48" s="474" t="str">
        <f>IF(Summary_Products!AO32="","",Summary_Products!AO32)</f>
        <v/>
      </c>
      <c r="AQ48" s="160" t="str">
        <f>IF(Summary_Products!AP32="","",Summary_Products!AP32)</f>
        <v/>
      </c>
      <c r="AR48" s="477" t="str">
        <f>IF(Summary_Products!AR32="","",Summary_Products!AR32)</f>
        <v/>
      </c>
      <c r="AS48" s="474" t="str">
        <f>IF(Summary_Products!AS32="","",Summary_Products!AS32)</f>
        <v/>
      </c>
      <c r="AT48" s="421" t="str">
        <f>IF(Summary_Products!AT32="","",INDEX(Translations!$C:$C,MATCH(Summary_Products!AT32,Translations!$B:$B,0)))</f>
        <v/>
      </c>
      <c r="AU48" s="615" t="str">
        <f>IF(Summary_Products!AU32="","",Summary_Products!AU32)</f>
        <v/>
      </c>
      <c r="AV48" s="473" t="str">
        <f>IF(Summary_Products!AV32="","",Summary_Products!AV32)</f>
        <v/>
      </c>
      <c r="AW48" s="474" t="str">
        <f>IF(Summary_Products!AW32="","",Summary_Products!AW32)</f>
        <v/>
      </c>
      <c r="AX48" s="477" t="str">
        <f>IF(Summary_Products!AX32="","",Summary_Products!AX32)</f>
        <v/>
      </c>
      <c r="AY48" s="474" t="str">
        <f>IF(Summary_Products!AY32="","",Summary_Products!AY32)</f>
        <v/>
      </c>
      <c r="AZ48" s="477" t="str">
        <f>IF(Summary_Products!AZ32="","",Summary_Products!AZ32)</f>
        <v/>
      </c>
      <c r="BA48" s="478" t="str">
        <f>IF(Summary_Products!BA32="","",Summary_Products!BA32)</f>
        <v/>
      </c>
      <c r="BD48" s="156"/>
      <c r="BE48" s="156"/>
      <c r="BF48" s="156"/>
      <c r="BG48" s="156"/>
    </row>
    <row r="49" spans="2:59"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782" t="str">
        <f t="shared" si="0"/>
        <v/>
      </c>
      <c r="Q49" s="160" t="str">
        <f>IF(Summary_Products!P33="","",INDEX(Translations!$C:$C,MATCH(Summary_Products!P33,Translations!$B:$B,0)))</f>
        <v/>
      </c>
      <c r="R49" s="160" t="str">
        <f>IF(Summary_Products!Q33="","",Summary_Products!Q33)</f>
        <v/>
      </c>
      <c r="S49" s="615" t="str">
        <f>IF(Summary_Products!R33="","",Summary_Products!R33)</f>
        <v/>
      </c>
      <c r="T49" s="615" t="str">
        <f>IF(Summary_Products!S33="","",Summary_Products!S33)</f>
        <v/>
      </c>
      <c r="U49" s="615" t="str">
        <f>IF(Summary_Products!T33="","",Summary_Products!T33)</f>
        <v/>
      </c>
      <c r="V49" s="615" t="str">
        <f>IF(Summary_Products!U33="","",Summary_Products!U33)</f>
        <v/>
      </c>
      <c r="W49" s="615" t="str">
        <f>IF(Summary_Products!V33="","",Summary_Products!V33)</f>
        <v/>
      </c>
      <c r="X49" s="615" t="str">
        <f>IF(Summary_Products!W33="","",Summary_Products!W33)</f>
        <v/>
      </c>
      <c r="Y49" s="615" t="str">
        <f>IF(Summary_Products!X33="","",Summary_Products!X33)</f>
        <v/>
      </c>
      <c r="Z49" s="615" t="str">
        <f>IF(Summary_Products!Y33="","",Summary_Products!Y33)</f>
        <v/>
      </c>
      <c r="AA49" s="615" t="str">
        <f>IF(Summary_Products!Z33="","",Summary_Products!Z33)</f>
        <v/>
      </c>
      <c r="AB49" s="615" t="str">
        <f>IF(Summary_Products!AA33="","",Summary_Products!AA33)</f>
        <v/>
      </c>
      <c r="AC49" s="615" t="str">
        <f>IF(Summary_Products!AB33="","",Summary_Products!AB33)</f>
        <v/>
      </c>
      <c r="AD49" s="615" t="str">
        <f>IF(Summary_Products!AC33="","",Summary_Products!AC33)</f>
        <v/>
      </c>
      <c r="AE49" s="615" t="str">
        <f>IF(Summary_Products!AD33="","",Summary_Products!AD33)</f>
        <v/>
      </c>
      <c r="AF49" s="615" t="str">
        <f>IF(Summary_Products!AE33="","",Summary_Products!AE33)</f>
        <v/>
      </c>
      <c r="AG49" s="615" t="str">
        <f>IF(Summary_Products!AF33="","",Summary_Products!AF33)</f>
        <v/>
      </c>
      <c r="AH49" s="615" t="str">
        <f>IF(Summary_Products!AG33="","",Summary_Products!AG33)</f>
        <v/>
      </c>
      <c r="AI49" s="615" t="str">
        <f>IF(Summary_Products!AH33="","",Summary_Products!AH33)</f>
        <v/>
      </c>
      <c r="AJ49" s="615" t="str">
        <f>IF(Summary_Products!AI33="","",Summary_Products!AI33)</f>
        <v/>
      </c>
      <c r="AK49" s="615" t="str">
        <f>IF(Summary_Products!AJ33="","",Summary_Products!AJ33)</f>
        <v/>
      </c>
      <c r="AL49" s="615" t="str">
        <f>IF(Summary_Products!AK33="","",Summary_Products!AK33)</f>
        <v/>
      </c>
      <c r="AM49" s="421" t="str">
        <f>IF(Summary_Products!AL33="","",INDEX(Translations!$C:$C,MATCH(Summary_Products!AL33,Translations!$B:$B,0)))</f>
        <v/>
      </c>
      <c r="AN49" s="615" t="str">
        <f>IF(Summary_Products!AM33="","",Summary_Products!AM33)</f>
        <v/>
      </c>
      <c r="AO49" s="473" t="str">
        <f>IF(Summary_Products!AN33="","",Summary_Products!AN33)</f>
        <v/>
      </c>
      <c r="AP49" s="474" t="str">
        <f>IF(Summary_Products!AO33="","",Summary_Products!AO33)</f>
        <v/>
      </c>
      <c r="AQ49" s="160" t="str">
        <f>IF(Summary_Products!AP33="","",Summary_Products!AP33)</f>
        <v/>
      </c>
      <c r="AR49" s="477" t="str">
        <f>IF(Summary_Products!AR33="","",Summary_Products!AR33)</f>
        <v/>
      </c>
      <c r="AS49" s="474" t="str">
        <f>IF(Summary_Products!AS33="","",Summary_Products!AS33)</f>
        <v/>
      </c>
      <c r="AT49" s="421" t="str">
        <f>IF(Summary_Products!AT33="","",INDEX(Translations!$C:$C,MATCH(Summary_Products!AT33,Translations!$B:$B,0)))</f>
        <v/>
      </c>
      <c r="AU49" s="615" t="str">
        <f>IF(Summary_Products!AU33="","",Summary_Products!AU33)</f>
        <v/>
      </c>
      <c r="AV49" s="473" t="str">
        <f>IF(Summary_Products!AV33="","",Summary_Products!AV33)</f>
        <v/>
      </c>
      <c r="AW49" s="474" t="str">
        <f>IF(Summary_Products!AW33="","",Summary_Products!AW33)</f>
        <v/>
      </c>
      <c r="AX49" s="477" t="str">
        <f>IF(Summary_Products!AX33="","",Summary_Products!AX33)</f>
        <v/>
      </c>
      <c r="AY49" s="474" t="str">
        <f>IF(Summary_Products!AY33="","",Summary_Products!AY33)</f>
        <v/>
      </c>
      <c r="AZ49" s="477" t="str">
        <f>IF(Summary_Products!AZ33="","",Summary_Products!AZ33)</f>
        <v/>
      </c>
      <c r="BA49" s="478" t="str">
        <f>IF(Summary_Products!BA33="","",Summary_Products!BA33)</f>
        <v/>
      </c>
      <c r="BD49" s="156"/>
      <c r="BE49" s="156"/>
      <c r="BF49" s="156"/>
      <c r="BG49" s="156"/>
    </row>
    <row r="50" spans="2:59"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782" t="str">
        <f t="shared" si="0"/>
        <v/>
      </c>
      <c r="Q50" s="160" t="str">
        <f>IF(Summary_Products!P34="","",INDEX(Translations!$C:$C,MATCH(Summary_Products!P34,Translations!$B:$B,0)))</f>
        <v/>
      </c>
      <c r="R50" s="160" t="str">
        <f>IF(Summary_Products!Q34="","",Summary_Products!Q34)</f>
        <v/>
      </c>
      <c r="S50" s="615" t="str">
        <f>IF(Summary_Products!R34="","",Summary_Products!R34)</f>
        <v/>
      </c>
      <c r="T50" s="615" t="str">
        <f>IF(Summary_Products!S34="","",Summary_Products!S34)</f>
        <v/>
      </c>
      <c r="U50" s="615" t="str">
        <f>IF(Summary_Products!T34="","",Summary_Products!T34)</f>
        <v/>
      </c>
      <c r="V50" s="615" t="str">
        <f>IF(Summary_Products!U34="","",Summary_Products!U34)</f>
        <v/>
      </c>
      <c r="W50" s="615" t="str">
        <f>IF(Summary_Products!V34="","",Summary_Products!V34)</f>
        <v/>
      </c>
      <c r="X50" s="615" t="str">
        <f>IF(Summary_Products!W34="","",Summary_Products!W34)</f>
        <v/>
      </c>
      <c r="Y50" s="615" t="str">
        <f>IF(Summary_Products!X34="","",Summary_Products!X34)</f>
        <v/>
      </c>
      <c r="Z50" s="615" t="str">
        <f>IF(Summary_Products!Y34="","",Summary_Products!Y34)</f>
        <v/>
      </c>
      <c r="AA50" s="615" t="str">
        <f>IF(Summary_Products!Z34="","",Summary_Products!Z34)</f>
        <v/>
      </c>
      <c r="AB50" s="615" t="str">
        <f>IF(Summary_Products!AA34="","",Summary_Products!AA34)</f>
        <v/>
      </c>
      <c r="AC50" s="615" t="str">
        <f>IF(Summary_Products!AB34="","",Summary_Products!AB34)</f>
        <v/>
      </c>
      <c r="AD50" s="615" t="str">
        <f>IF(Summary_Products!AC34="","",Summary_Products!AC34)</f>
        <v/>
      </c>
      <c r="AE50" s="615" t="str">
        <f>IF(Summary_Products!AD34="","",Summary_Products!AD34)</f>
        <v/>
      </c>
      <c r="AF50" s="615" t="str">
        <f>IF(Summary_Products!AE34="","",Summary_Products!AE34)</f>
        <v/>
      </c>
      <c r="AG50" s="615" t="str">
        <f>IF(Summary_Products!AF34="","",Summary_Products!AF34)</f>
        <v/>
      </c>
      <c r="AH50" s="615" t="str">
        <f>IF(Summary_Products!AG34="","",Summary_Products!AG34)</f>
        <v/>
      </c>
      <c r="AI50" s="615" t="str">
        <f>IF(Summary_Products!AH34="","",Summary_Products!AH34)</f>
        <v/>
      </c>
      <c r="AJ50" s="615" t="str">
        <f>IF(Summary_Products!AI34="","",Summary_Products!AI34)</f>
        <v/>
      </c>
      <c r="AK50" s="615" t="str">
        <f>IF(Summary_Products!AJ34="","",Summary_Products!AJ34)</f>
        <v/>
      </c>
      <c r="AL50" s="615" t="str">
        <f>IF(Summary_Products!AK34="","",Summary_Products!AK34)</f>
        <v/>
      </c>
      <c r="AM50" s="421" t="str">
        <f>IF(Summary_Products!AL34="","",INDEX(Translations!$C:$C,MATCH(Summary_Products!AL34,Translations!$B:$B,0)))</f>
        <v/>
      </c>
      <c r="AN50" s="615" t="str">
        <f>IF(Summary_Products!AM34="","",Summary_Products!AM34)</f>
        <v/>
      </c>
      <c r="AO50" s="473" t="str">
        <f>IF(Summary_Products!AN34="","",Summary_Products!AN34)</f>
        <v/>
      </c>
      <c r="AP50" s="474" t="str">
        <f>IF(Summary_Products!AO34="","",Summary_Products!AO34)</f>
        <v/>
      </c>
      <c r="AQ50" s="160" t="str">
        <f>IF(Summary_Products!AP34="","",Summary_Products!AP34)</f>
        <v/>
      </c>
      <c r="AR50" s="477" t="str">
        <f>IF(Summary_Products!AR34="","",Summary_Products!AR34)</f>
        <v/>
      </c>
      <c r="AS50" s="474" t="str">
        <f>IF(Summary_Products!AS34="","",Summary_Products!AS34)</f>
        <v/>
      </c>
      <c r="AT50" s="421" t="str">
        <f>IF(Summary_Products!AT34="","",INDEX(Translations!$C:$C,MATCH(Summary_Products!AT34,Translations!$B:$B,0)))</f>
        <v/>
      </c>
      <c r="AU50" s="615" t="str">
        <f>IF(Summary_Products!AU34="","",Summary_Products!AU34)</f>
        <v/>
      </c>
      <c r="AV50" s="473" t="str">
        <f>IF(Summary_Products!AV34="","",Summary_Products!AV34)</f>
        <v/>
      </c>
      <c r="AW50" s="474" t="str">
        <f>IF(Summary_Products!AW34="","",Summary_Products!AW34)</f>
        <v/>
      </c>
      <c r="AX50" s="477" t="str">
        <f>IF(Summary_Products!AX34="","",Summary_Products!AX34)</f>
        <v/>
      </c>
      <c r="AY50" s="474" t="str">
        <f>IF(Summary_Products!AY34="","",Summary_Products!AY34)</f>
        <v/>
      </c>
      <c r="AZ50" s="477" t="str">
        <f>IF(Summary_Products!AZ34="","",Summary_Products!AZ34)</f>
        <v/>
      </c>
      <c r="BA50" s="478" t="str">
        <f>IF(Summary_Products!BA34="","",Summary_Products!BA34)</f>
        <v/>
      </c>
      <c r="BD50" s="156"/>
      <c r="BE50" s="156"/>
      <c r="BF50" s="156"/>
      <c r="BG50" s="156"/>
    </row>
    <row r="51" spans="2:59"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782" t="str">
        <f t="shared" si="0"/>
        <v/>
      </c>
      <c r="Q51" s="160" t="str">
        <f>IF(Summary_Products!P35="","",INDEX(Translations!$C:$C,MATCH(Summary_Products!P35,Translations!$B:$B,0)))</f>
        <v/>
      </c>
      <c r="R51" s="160" t="str">
        <f>IF(Summary_Products!Q35="","",Summary_Products!Q35)</f>
        <v/>
      </c>
      <c r="S51" s="615" t="str">
        <f>IF(Summary_Products!R35="","",Summary_Products!R35)</f>
        <v/>
      </c>
      <c r="T51" s="615" t="str">
        <f>IF(Summary_Products!S35="","",Summary_Products!S35)</f>
        <v/>
      </c>
      <c r="U51" s="615" t="str">
        <f>IF(Summary_Products!T35="","",Summary_Products!T35)</f>
        <v/>
      </c>
      <c r="V51" s="615" t="str">
        <f>IF(Summary_Products!U35="","",Summary_Products!U35)</f>
        <v/>
      </c>
      <c r="W51" s="615" t="str">
        <f>IF(Summary_Products!V35="","",Summary_Products!V35)</f>
        <v/>
      </c>
      <c r="X51" s="615" t="str">
        <f>IF(Summary_Products!W35="","",Summary_Products!W35)</f>
        <v/>
      </c>
      <c r="Y51" s="615" t="str">
        <f>IF(Summary_Products!X35="","",Summary_Products!X35)</f>
        <v/>
      </c>
      <c r="Z51" s="615" t="str">
        <f>IF(Summary_Products!Y35="","",Summary_Products!Y35)</f>
        <v/>
      </c>
      <c r="AA51" s="615" t="str">
        <f>IF(Summary_Products!Z35="","",Summary_Products!Z35)</f>
        <v/>
      </c>
      <c r="AB51" s="615" t="str">
        <f>IF(Summary_Products!AA35="","",Summary_Products!AA35)</f>
        <v/>
      </c>
      <c r="AC51" s="615" t="str">
        <f>IF(Summary_Products!AB35="","",Summary_Products!AB35)</f>
        <v/>
      </c>
      <c r="AD51" s="615" t="str">
        <f>IF(Summary_Products!AC35="","",Summary_Products!AC35)</f>
        <v/>
      </c>
      <c r="AE51" s="615" t="str">
        <f>IF(Summary_Products!AD35="","",Summary_Products!AD35)</f>
        <v/>
      </c>
      <c r="AF51" s="615" t="str">
        <f>IF(Summary_Products!AE35="","",Summary_Products!AE35)</f>
        <v/>
      </c>
      <c r="AG51" s="615" t="str">
        <f>IF(Summary_Products!AF35="","",Summary_Products!AF35)</f>
        <v/>
      </c>
      <c r="AH51" s="615" t="str">
        <f>IF(Summary_Products!AG35="","",Summary_Products!AG35)</f>
        <v/>
      </c>
      <c r="AI51" s="615" t="str">
        <f>IF(Summary_Products!AH35="","",Summary_Products!AH35)</f>
        <v/>
      </c>
      <c r="AJ51" s="615" t="str">
        <f>IF(Summary_Products!AI35="","",Summary_Products!AI35)</f>
        <v/>
      </c>
      <c r="AK51" s="615" t="str">
        <f>IF(Summary_Products!AJ35="","",Summary_Products!AJ35)</f>
        <v/>
      </c>
      <c r="AL51" s="615" t="str">
        <f>IF(Summary_Products!AK35="","",Summary_Products!AK35)</f>
        <v/>
      </c>
      <c r="AM51" s="421" t="str">
        <f>IF(Summary_Products!AL35="","",INDEX(Translations!$C:$C,MATCH(Summary_Products!AL35,Translations!$B:$B,0)))</f>
        <v/>
      </c>
      <c r="AN51" s="615" t="str">
        <f>IF(Summary_Products!AM35="","",Summary_Products!AM35)</f>
        <v/>
      </c>
      <c r="AO51" s="473" t="str">
        <f>IF(Summary_Products!AN35="","",Summary_Products!AN35)</f>
        <v/>
      </c>
      <c r="AP51" s="474" t="str">
        <f>IF(Summary_Products!AO35="","",Summary_Products!AO35)</f>
        <v/>
      </c>
      <c r="AQ51" s="160" t="str">
        <f>IF(Summary_Products!AP35="","",Summary_Products!AP35)</f>
        <v/>
      </c>
      <c r="AR51" s="477" t="str">
        <f>IF(Summary_Products!AR35="","",Summary_Products!AR35)</f>
        <v/>
      </c>
      <c r="AS51" s="474" t="str">
        <f>IF(Summary_Products!AS35="","",Summary_Products!AS35)</f>
        <v/>
      </c>
      <c r="AT51" s="421" t="str">
        <f>IF(Summary_Products!AT35="","",INDEX(Translations!$C:$C,MATCH(Summary_Products!AT35,Translations!$B:$B,0)))</f>
        <v/>
      </c>
      <c r="AU51" s="615" t="str">
        <f>IF(Summary_Products!AU35="","",Summary_Products!AU35)</f>
        <v/>
      </c>
      <c r="AV51" s="473" t="str">
        <f>IF(Summary_Products!AV35="","",Summary_Products!AV35)</f>
        <v/>
      </c>
      <c r="AW51" s="474" t="str">
        <f>IF(Summary_Products!AW35="","",Summary_Products!AW35)</f>
        <v/>
      </c>
      <c r="AX51" s="477" t="str">
        <f>IF(Summary_Products!AX35="","",Summary_Products!AX35)</f>
        <v/>
      </c>
      <c r="AY51" s="474" t="str">
        <f>IF(Summary_Products!AY35="","",Summary_Products!AY35)</f>
        <v/>
      </c>
      <c r="AZ51" s="477" t="str">
        <f>IF(Summary_Products!AZ35="","",Summary_Products!AZ35)</f>
        <v/>
      </c>
      <c r="BA51" s="478" t="str">
        <f>IF(Summary_Products!BA35="","",Summary_Products!BA35)</f>
        <v/>
      </c>
      <c r="BD51" s="156"/>
      <c r="BE51" s="156"/>
      <c r="BF51" s="156"/>
      <c r="BG51" s="156"/>
    </row>
    <row r="52" spans="2:59"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782" t="str">
        <f t="shared" si="0"/>
        <v/>
      </c>
      <c r="Q52" s="160" t="str">
        <f>IF(Summary_Products!P36="","",INDEX(Translations!$C:$C,MATCH(Summary_Products!P36,Translations!$B:$B,0)))</f>
        <v/>
      </c>
      <c r="R52" s="160" t="str">
        <f>IF(Summary_Products!Q36="","",Summary_Products!Q36)</f>
        <v/>
      </c>
      <c r="S52" s="615" t="str">
        <f>IF(Summary_Products!R36="","",Summary_Products!R36)</f>
        <v/>
      </c>
      <c r="T52" s="615" t="str">
        <f>IF(Summary_Products!S36="","",Summary_Products!S36)</f>
        <v/>
      </c>
      <c r="U52" s="615" t="str">
        <f>IF(Summary_Products!T36="","",Summary_Products!T36)</f>
        <v/>
      </c>
      <c r="V52" s="615" t="str">
        <f>IF(Summary_Products!U36="","",Summary_Products!U36)</f>
        <v/>
      </c>
      <c r="W52" s="615" t="str">
        <f>IF(Summary_Products!V36="","",Summary_Products!V36)</f>
        <v/>
      </c>
      <c r="X52" s="615" t="str">
        <f>IF(Summary_Products!W36="","",Summary_Products!W36)</f>
        <v/>
      </c>
      <c r="Y52" s="615" t="str">
        <f>IF(Summary_Products!X36="","",Summary_Products!X36)</f>
        <v/>
      </c>
      <c r="Z52" s="615" t="str">
        <f>IF(Summary_Products!Y36="","",Summary_Products!Y36)</f>
        <v/>
      </c>
      <c r="AA52" s="615" t="str">
        <f>IF(Summary_Products!Z36="","",Summary_Products!Z36)</f>
        <v/>
      </c>
      <c r="AB52" s="615" t="str">
        <f>IF(Summary_Products!AA36="","",Summary_Products!AA36)</f>
        <v/>
      </c>
      <c r="AC52" s="615" t="str">
        <f>IF(Summary_Products!AB36="","",Summary_Products!AB36)</f>
        <v/>
      </c>
      <c r="AD52" s="615" t="str">
        <f>IF(Summary_Products!AC36="","",Summary_Products!AC36)</f>
        <v/>
      </c>
      <c r="AE52" s="615" t="str">
        <f>IF(Summary_Products!AD36="","",Summary_Products!AD36)</f>
        <v/>
      </c>
      <c r="AF52" s="615" t="str">
        <f>IF(Summary_Products!AE36="","",Summary_Products!AE36)</f>
        <v/>
      </c>
      <c r="AG52" s="615" t="str">
        <f>IF(Summary_Products!AF36="","",Summary_Products!AF36)</f>
        <v/>
      </c>
      <c r="AH52" s="615" t="str">
        <f>IF(Summary_Products!AG36="","",Summary_Products!AG36)</f>
        <v/>
      </c>
      <c r="AI52" s="615" t="str">
        <f>IF(Summary_Products!AH36="","",Summary_Products!AH36)</f>
        <v/>
      </c>
      <c r="AJ52" s="615" t="str">
        <f>IF(Summary_Products!AI36="","",Summary_Products!AI36)</f>
        <v/>
      </c>
      <c r="AK52" s="615" t="str">
        <f>IF(Summary_Products!AJ36="","",Summary_Products!AJ36)</f>
        <v/>
      </c>
      <c r="AL52" s="615" t="str">
        <f>IF(Summary_Products!AK36="","",Summary_Products!AK36)</f>
        <v/>
      </c>
      <c r="AM52" s="421" t="str">
        <f>IF(Summary_Products!AL36="","",INDEX(Translations!$C:$C,MATCH(Summary_Products!AL36,Translations!$B:$B,0)))</f>
        <v/>
      </c>
      <c r="AN52" s="615" t="str">
        <f>IF(Summary_Products!AM36="","",Summary_Products!AM36)</f>
        <v/>
      </c>
      <c r="AO52" s="473" t="str">
        <f>IF(Summary_Products!AN36="","",Summary_Products!AN36)</f>
        <v/>
      </c>
      <c r="AP52" s="474" t="str">
        <f>IF(Summary_Products!AO36="","",Summary_Products!AO36)</f>
        <v/>
      </c>
      <c r="AQ52" s="160" t="str">
        <f>IF(Summary_Products!AP36="","",Summary_Products!AP36)</f>
        <v/>
      </c>
      <c r="AR52" s="477" t="str">
        <f>IF(Summary_Products!AR36="","",Summary_Products!AR36)</f>
        <v/>
      </c>
      <c r="AS52" s="474" t="str">
        <f>IF(Summary_Products!AS36="","",Summary_Products!AS36)</f>
        <v/>
      </c>
      <c r="AT52" s="421" t="str">
        <f>IF(Summary_Products!AT36="","",INDEX(Translations!$C:$C,MATCH(Summary_Products!AT36,Translations!$B:$B,0)))</f>
        <v/>
      </c>
      <c r="AU52" s="615" t="str">
        <f>IF(Summary_Products!AU36="","",Summary_Products!AU36)</f>
        <v/>
      </c>
      <c r="AV52" s="473" t="str">
        <f>IF(Summary_Products!AV36="","",Summary_Products!AV36)</f>
        <v/>
      </c>
      <c r="AW52" s="474" t="str">
        <f>IF(Summary_Products!AW36="","",Summary_Products!AW36)</f>
        <v/>
      </c>
      <c r="AX52" s="477" t="str">
        <f>IF(Summary_Products!AX36="","",Summary_Products!AX36)</f>
        <v/>
      </c>
      <c r="AY52" s="474" t="str">
        <f>IF(Summary_Products!AY36="","",Summary_Products!AY36)</f>
        <v/>
      </c>
      <c r="AZ52" s="477" t="str">
        <f>IF(Summary_Products!AZ36="","",Summary_Products!AZ36)</f>
        <v/>
      </c>
      <c r="BA52" s="478" t="str">
        <f>IF(Summary_Products!BA36="","",Summary_Products!BA36)</f>
        <v/>
      </c>
      <c r="BD52" s="156"/>
      <c r="BE52" s="156"/>
      <c r="BF52" s="156"/>
      <c r="BG52" s="156"/>
    </row>
    <row r="53" spans="2:59"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782" t="str">
        <f t="shared" si="0"/>
        <v/>
      </c>
      <c r="Q53" s="160" t="str">
        <f>IF(Summary_Products!P37="","",INDEX(Translations!$C:$C,MATCH(Summary_Products!P37,Translations!$B:$B,0)))</f>
        <v/>
      </c>
      <c r="R53" s="160" t="str">
        <f>IF(Summary_Products!Q37="","",Summary_Products!Q37)</f>
        <v/>
      </c>
      <c r="S53" s="615" t="str">
        <f>IF(Summary_Products!R37="","",Summary_Products!R37)</f>
        <v/>
      </c>
      <c r="T53" s="615" t="str">
        <f>IF(Summary_Products!S37="","",Summary_Products!S37)</f>
        <v/>
      </c>
      <c r="U53" s="615" t="str">
        <f>IF(Summary_Products!T37="","",Summary_Products!T37)</f>
        <v/>
      </c>
      <c r="V53" s="615" t="str">
        <f>IF(Summary_Products!U37="","",Summary_Products!U37)</f>
        <v/>
      </c>
      <c r="W53" s="615" t="str">
        <f>IF(Summary_Products!V37="","",Summary_Products!V37)</f>
        <v/>
      </c>
      <c r="X53" s="615" t="str">
        <f>IF(Summary_Products!W37="","",Summary_Products!W37)</f>
        <v/>
      </c>
      <c r="Y53" s="615" t="str">
        <f>IF(Summary_Products!X37="","",Summary_Products!X37)</f>
        <v/>
      </c>
      <c r="Z53" s="615" t="str">
        <f>IF(Summary_Products!Y37="","",Summary_Products!Y37)</f>
        <v/>
      </c>
      <c r="AA53" s="615" t="str">
        <f>IF(Summary_Products!Z37="","",Summary_Products!Z37)</f>
        <v/>
      </c>
      <c r="AB53" s="615" t="str">
        <f>IF(Summary_Products!AA37="","",Summary_Products!AA37)</f>
        <v/>
      </c>
      <c r="AC53" s="615" t="str">
        <f>IF(Summary_Products!AB37="","",Summary_Products!AB37)</f>
        <v/>
      </c>
      <c r="AD53" s="615" t="str">
        <f>IF(Summary_Products!AC37="","",Summary_Products!AC37)</f>
        <v/>
      </c>
      <c r="AE53" s="615" t="str">
        <f>IF(Summary_Products!AD37="","",Summary_Products!AD37)</f>
        <v/>
      </c>
      <c r="AF53" s="615" t="str">
        <f>IF(Summary_Products!AE37="","",Summary_Products!AE37)</f>
        <v/>
      </c>
      <c r="AG53" s="615" t="str">
        <f>IF(Summary_Products!AF37="","",Summary_Products!AF37)</f>
        <v/>
      </c>
      <c r="AH53" s="615" t="str">
        <f>IF(Summary_Products!AG37="","",Summary_Products!AG37)</f>
        <v/>
      </c>
      <c r="AI53" s="615" t="str">
        <f>IF(Summary_Products!AH37="","",Summary_Products!AH37)</f>
        <v/>
      </c>
      <c r="AJ53" s="615" t="str">
        <f>IF(Summary_Products!AI37="","",Summary_Products!AI37)</f>
        <v/>
      </c>
      <c r="AK53" s="615" t="str">
        <f>IF(Summary_Products!AJ37="","",Summary_Products!AJ37)</f>
        <v/>
      </c>
      <c r="AL53" s="615" t="str">
        <f>IF(Summary_Products!AK37="","",Summary_Products!AK37)</f>
        <v/>
      </c>
      <c r="AM53" s="421" t="str">
        <f>IF(Summary_Products!AL37="","",INDEX(Translations!$C:$C,MATCH(Summary_Products!AL37,Translations!$B:$B,0)))</f>
        <v/>
      </c>
      <c r="AN53" s="615" t="str">
        <f>IF(Summary_Products!AM37="","",Summary_Products!AM37)</f>
        <v/>
      </c>
      <c r="AO53" s="473" t="str">
        <f>IF(Summary_Products!AN37="","",Summary_Products!AN37)</f>
        <v/>
      </c>
      <c r="AP53" s="474" t="str">
        <f>IF(Summary_Products!AO37="","",Summary_Products!AO37)</f>
        <v/>
      </c>
      <c r="AQ53" s="160" t="str">
        <f>IF(Summary_Products!AP37="","",Summary_Products!AP37)</f>
        <v/>
      </c>
      <c r="AR53" s="477" t="str">
        <f>IF(Summary_Products!AR37="","",Summary_Products!AR37)</f>
        <v/>
      </c>
      <c r="AS53" s="474" t="str">
        <f>IF(Summary_Products!AS37="","",Summary_Products!AS37)</f>
        <v/>
      </c>
      <c r="AT53" s="421" t="str">
        <f>IF(Summary_Products!AT37="","",INDEX(Translations!$C:$C,MATCH(Summary_Products!AT37,Translations!$B:$B,0)))</f>
        <v/>
      </c>
      <c r="AU53" s="615" t="str">
        <f>IF(Summary_Products!AU37="","",Summary_Products!AU37)</f>
        <v/>
      </c>
      <c r="AV53" s="473" t="str">
        <f>IF(Summary_Products!AV37="","",Summary_Products!AV37)</f>
        <v/>
      </c>
      <c r="AW53" s="474" t="str">
        <f>IF(Summary_Products!AW37="","",Summary_Products!AW37)</f>
        <v/>
      </c>
      <c r="AX53" s="477" t="str">
        <f>IF(Summary_Products!AX37="","",Summary_Products!AX37)</f>
        <v/>
      </c>
      <c r="AY53" s="474" t="str">
        <f>IF(Summary_Products!AY37="","",Summary_Products!AY37)</f>
        <v/>
      </c>
      <c r="AZ53" s="477" t="str">
        <f>IF(Summary_Products!AZ37="","",Summary_Products!AZ37)</f>
        <v/>
      </c>
      <c r="BA53" s="478" t="str">
        <f>IF(Summary_Products!BA37="","",Summary_Products!BA37)</f>
        <v/>
      </c>
      <c r="BD53" s="156"/>
      <c r="BE53" s="156"/>
      <c r="BF53" s="156"/>
      <c r="BG53" s="156"/>
    </row>
    <row r="54" spans="2:59"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782" t="str">
        <f t="shared" si="0"/>
        <v/>
      </c>
      <c r="Q54" s="160" t="str">
        <f>IF(Summary_Products!P38="","",INDEX(Translations!$C:$C,MATCH(Summary_Products!P38,Translations!$B:$B,0)))</f>
        <v/>
      </c>
      <c r="R54" s="160" t="str">
        <f>IF(Summary_Products!Q38="","",Summary_Products!Q38)</f>
        <v/>
      </c>
      <c r="S54" s="615" t="str">
        <f>IF(Summary_Products!R38="","",Summary_Products!R38)</f>
        <v/>
      </c>
      <c r="T54" s="615" t="str">
        <f>IF(Summary_Products!S38="","",Summary_Products!S38)</f>
        <v/>
      </c>
      <c r="U54" s="615" t="str">
        <f>IF(Summary_Products!T38="","",Summary_Products!T38)</f>
        <v/>
      </c>
      <c r="V54" s="615" t="str">
        <f>IF(Summary_Products!U38="","",Summary_Products!U38)</f>
        <v/>
      </c>
      <c r="W54" s="615" t="str">
        <f>IF(Summary_Products!V38="","",Summary_Products!V38)</f>
        <v/>
      </c>
      <c r="X54" s="615" t="str">
        <f>IF(Summary_Products!W38="","",Summary_Products!W38)</f>
        <v/>
      </c>
      <c r="Y54" s="615" t="str">
        <f>IF(Summary_Products!X38="","",Summary_Products!X38)</f>
        <v/>
      </c>
      <c r="Z54" s="615" t="str">
        <f>IF(Summary_Products!Y38="","",Summary_Products!Y38)</f>
        <v/>
      </c>
      <c r="AA54" s="615" t="str">
        <f>IF(Summary_Products!Z38="","",Summary_Products!Z38)</f>
        <v/>
      </c>
      <c r="AB54" s="615" t="str">
        <f>IF(Summary_Products!AA38="","",Summary_Products!AA38)</f>
        <v/>
      </c>
      <c r="AC54" s="615" t="str">
        <f>IF(Summary_Products!AB38="","",Summary_Products!AB38)</f>
        <v/>
      </c>
      <c r="AD54" s="615" t="str">
        <f>IF(Summary_Products!AC38="","",Summary_Products!AC38)</f>
        <v/>
      </c>
      <c r="AE54" s="615" t="str">
        <f>IF(Summary_Products!AD38="","",Summary_Products!AD38)</f>
        <v/>
      </c>
      <c r="AF54" s="615" t="str">
        <f>IF(Summary_Products!AE38="","",Summary_Products!AE38)</f>
        <v/>
      </c>
      <c r="AG54" s="615" t="str">
        <f>IF(Summary_Products!AF38="","",Summary_Products!AF38)</f>
        <v/>
      </c>
      <c r="AH54" s="615" t="str">
        <f>IF(Summary_Products!AG38="","",Summary_Products!AG38)</f>
        <v/>
      </c>
      <c r="AI54" s="615" t="str">
        <f>IF(Summary_Products!AH38="","",Summary_Products!AH38)</f>
        <v/>
      </c>
      <c r="AJ54" s="615" t="str">
        <f>IF(Summary_Products!AI38="","",Summary_Products!AI38)</f>
        <v/>
      </c>
      <c r="AK54" s="615" t="str">
        <f>IF(Summary_Products!AJ38="","",Summary_Products!AJ38)</f>
        <v/>
      </c>
      <c r="AL54" s="615" t="str">
        <f>IF(Summary_Products!AK38="","",Summary_Products!AK38)</f>
        <v/>
      </c>
      <c r="AM54" s="421" t="str">
        <f>IF(Summary_Products!AL38="","",INDEX(Translations!$C:$C,MATCH(Summary_Products!AL38,Translations!$B:$B,0)))</f>
        <v/>
      </c>
      <c r="AN54" s="615" t="str">
        <f>IF(Summary_Products!AM38="","",Summary_Products!AM38)</f>
        <v/>
      </c>
      <c r="AO54" s="473" t="str">
        <f>IF(Summary_Products!AN38="","",Summary_Products!AN38)</f>
        <v/>
      </c>
      <c r="AP54" s="474" t="str">
        <f>IF(Summary_Products!AO38="","",Summary_Products!AO38)</f>
        <v/>
      </c>
      <c r="AQ54" s="160" t="str">
        <f>IF(Summary_Products!AP38="","",Summary_Products!AP38)</f>
        <v/>
      </c>
      <c r="AR54" s="477" t="str">
        <f>IF(Summary_Products!AR38="","",Summary_Products!AR38)</f>
        <v/>
      </c>
      <c r="AS54" s="474" t="str">
        <f>IF(Summary_Products!AS38="","",Summary_Products!AS38)</f>
        <v/>
      </c>
      <c r="AT54" s="421" t="str">
        <f>IF(Summary_Products!AT38="","",INDEX(Translations!$C:$C,MATCH(Summary_Products!AT38,Translations!$B:$B,0)))</f>
        <v/>
      </c>
      <c r="AU54" s="615" t="str">
        <f>IF(Summary_Products!AU38="","",Summary_Products!AU38)</f>
        <v/>
      </c>
      <c r="AV54" s="473" t="str">
        <f>IF(Summary_Products!AV38="","",Summary_Products!AV38)</f>
        <v/>
      </c>
      <c r="AW54" s="474" t="str">
        <f>IF(Summary_Products!AW38="","",Summary_Products!AW38)</f>
        <v/>
      </c>
      <c r="AX54" s="477" t="str">
        <f>IF(Summary_Products!AX38="","",Summary_Products!AX38)</f>
        <v/>
      </c>
      <c r="AY54" s="474" t="str">
        <f>IF(Summary_Products!AY38="","",Summary_Products!AY38)</f>
        <v/>
      </c>
      <c r="AZ54" s="477" t="str">
        <f>IF(Summary_Products!AZ38="","",Summary_Products!AZ38)</f>
        <v/>
      </c>
      <c r="BA54" s="478" t="str">
        <f>IF(Summary_Products!BA38="","",Summary_Products!BA38)</f>
        <v/>
      </c>
      <c r="BD54" s="156"/>
      <c r="BE54" s="156"/>
      <c r="BF54" s="156"/>
      <c r="BG54" s="156"/>
    </row>
    <row r="55" spans="2:59"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782" t="str">
        <f t="shared" si="0"/>
        <v/>
      </c>
      <c r="Q55" s="160" t="str">
        <f>IF(Summary_Products!P39="","",INDEX(Translations!$C:$C,MATCH(Summary_Products!P39,Translations!$B:$B,0)))</f>
        <v/>
      </c>
      <c r="R55" s="160" t="str">
        <f>IF(Summary_Products!Q39="","",Summary_Products!Q39)</f>
        <v/>
      </c>
      <c r="S55" s="615" t="str">
        <f>IF(Summary_Products!R39="","",Summary_Products!R39)</f>
        <v/>
      </c>
      <c r="T55" s="615" t="str">
        <f>IF(Summary_Products!S39="","",Summary_Products!S39)</f>
        <v/>
      </c>
      <c r="U55" s="615" t="str">
        <f>IF(Summary_Products!T39="","",Summary_Products!T39)</f>
        <v/>
      </c>
      <c r="V55" s="615" t="str">
        <f>IF(Summary_Products!U39="","",Summary_Products!U39)</f>
        <v/>
      </c>
      <c r="W55" s="615" t="str">
        <f>IF(Summary_Products!V39="","",Summary_Products!V39)</f>
        <v/>
      </c>
      <c r="X55" s="615" t="str">
        <f>IF(Summary_Products!W39="","",Summary_Products!W39)</f>
        <v/>
      </c>
      <c r="Y55" s="615" t="str">
        <f>IF(Summary_Products!X39="","",Summary_Products!X39)</f>
        <v/>
      </c>
      <c r="Z55" s="615" t="str">
        <f>IF(Summary_Products!Y39="","",Summary_Products!Y39)</f>
        <v/>
      </c>
      <c r="AA55" s="615" t="str">
        <f>IF(Summary_Products!Z39="","",Summary_Products!Z39)</f>
        <v/>
      </c>
      <c r="AB55" s="615" t="str">
        <f>IF(Summary_Products!AA39="","",Summary_Products!AA39)</f>
        <v/>
      </c>
      <c r="AC55" s="615" t="str">
        <f>IF(Summary_Products!AB39="","",Summary_Products!AB39)</f>
        <v/>
      </c>
      <c r="AD55" s="615" t="str">
        <f>IF(Summary_Products!AC39="","",Summary_Products!AC39)</f>
        <v/>
      </c>
      <c r="AE55" s="615" t="str">
        <f>IF(Summary_Products!AD39="","",Summary_Products!AD39)</f>
        <v/>
      </c>
      <c r="AF55" s="615" t="str">
        <f>IF(Summary_Products!AE39="","",Summary_Products!AE39)</f>
        <v/>
      </c>
      <c r="AG55" s="615" t="str">
        <f>IF(Summary_Products!AF39="","",Summary_Products!AF39)</f>
        <v/>
      </c>
      <c r="AH55" s="615" t="str">
        <f>IF(Summary_Products!AG39="","",Summary_Products!AG39)</f>
        <v/>
      </c>
      <c r="AI55" s="615" t="str">
        <f>IF(Summary_Products!AH39="","",Summary_Products!AH39)</f>
        <v/>
      </c>
      <c r="AJ55" s="615" t="str">
        <f>IF(Summary_Products!AI39="","",Summary_Products!AI39)</f>
        <v/>
      </c>
      <c r="AK55" s="615" t="str">
        <f>IF(Summary_Products!AJ39="","",Summary_Products!AJ39)</f>
        <v/>
      </c>
      <c r="AL55" s="615" t="str">
        <f>IF(Summary_Products!AK39="","",Summary_Products!AK39)</f>
        <v/>
      </c>
      <c r="AM55" s="421" t="str">
        <f>IF(Summary_Products!AL39="","",INDEX(Translations!$C:$C,MATCH(Summary_Products!AL39,Translations!$B:$B,0)))</f>
        <v/>
      </c>
      <c r="AN55" s="615" t="str">
        <f>IF(Summary_Products!AM39="","",Summary_Products!AM39)</f>
        <v/>
      </c>
      <c r="AO55" s="473" t="str">
        <f>IF(Summary_Products!AN39="","",Summary_Products!AN39)</f>
        <v/>
      </c>
      <c r="AP55" s="474" t="str">
        <f>IF(Summary_Products!AO39="","",Summary_Products!AO39)</f>
        <v/>
      </c>
      <c r="AQ55" s="160" t="str">
        <f>IF(Summary_Products!AP39="","",Summary_Products!AP39)</f>
        <v/>
      </c>
      <c r="AR55" s="477" t="str">
        <f>IF(Summary_Products!AR39="","",Summary_Products!AR39)</f>
        <v/>
      </c>
      <c r="AS55" s="474" t="str">
        <f>IF(Summary_Products!AS39="","",Summary_Products!AS39)</f>
        <v/>
      </c>
      <c r="AT55" s="421" t="str">
        <f>IF(Summary_Products!AT39="","",INDEX(Translations!$C:$C,MATCH(Summary_Products!AT39,Translations!$B:$B,0)))</f>
        <v/>
      </c>
      <c r="AU55" s="615" t="str">
        <f>IF(Summary_Products!AU39="","",Summary_Products!AU39)</f>
        <v/>
      </c>
      <c r="AV55" s="473" t="str">
        <f>IF(Summary_Products!AV39="","",Summary_Products!AV39)</f>
        <v/>
      </c>
      <c r="AW55" s="474" t="str">
        <f>IF(Summary_Products!AW39="","",Summary_Products!AW39)</f>
        <v/>
      </c>
      <c r="AX55" s="477" t="str">
        <f>IF(Summary_Products!AX39="","",Summary_Products!AX39)</f>
        <v/>
      </c>
      <c r="AY55" s="474" t="str">
        <f>IF(Summary_Products!AY39="","",Summary_Products!AY39)</f>
        <v/>
      </c>
      <c r="AZ55" s="477" t="str">
        <f>IF(Summary_Products!AZ39="","",Summary_Products!AZ39)</f>
        <v/>
      </c>
      <c r="BA55" s="478" t="str">
        <f>IF(Summary_Products!BA39="","",Summary_Products!BA39)</f>
        <v/>
      </c>
      <c r="BD55" s="156"/>
      <c r="BE55" s="156"/>
      <c r="BF55" s="156"/>
      <c r="BG55" s="156"/>
    </row>
    <row r="56" spans="2:59" ht="12.75"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782" t="str">
        <f t="shared" si="0"/>
        <v/>
      </c>
      <c r="Q56" s="160" t="str">
        <f>IF(Summary_Products!P40="","",INDEX(Translations!$C:$C,MATCH(Summary_Products!P40,Translations!$B:$B,0)))</f>
        <v/>
      </c>
      <c r="R56" s="160" t="str">
        <f>IF(Summary_Products!Q40="","",Summary_Products!Q40)</f>
        <v/>
      </c>
      <c r="S56" s="615" t="str">
        <f>IF(Summary_Products!R40="","",Summary_Products!R40)</f>
        <v/>
      </c>
      <c r="T56" s="615" t="str">
        <f>IF(Summary_Products!S40="","",Summary_Products!S40)</f>
        <v/>
      </c>
      <c r="U56" s="615" t="str">
        <f>IF(Summary_Products!T40="","",Summary_Products!T40)</f>
        <v/>
      </c>
      <c r="V56" s="615" t="str">
        <f>IF(Summary_Products!U40="","",Summary_Products!U40)</f>
        <v/>
      </c>
      <c r="W56" s="615" t="str">
        <f>IF(Summary_Products!V40="","",Summary_Products!V40)</f>
        <v/>
      </c>
      <c r="X56" s="615" t="str">
        <f>IF(Summary_Products!W40="","",Summary_Products!W40)</f>
        <v/>
      </c>
      <c r="Y56" s="615" t="str">
        <f>IF(Summary_Products!X40="","",Summary_Products!X40)</f>
        <v/>
      </c>
      <c r="Z56" s="615" t="str">
        <f>IF(Summary_Products!Y40="","",Summary_Products!Y40)</f>
        <v/>
      </c>
      <c r="AA56" s="615" t="str">
        <f>IF(Summary_Products!Z40="","",Summary_Products!Z40)</f>
        <v/>
      </c>
      <c r="AB56" s="615" t="str">
        <f>IF(Summary_Products!AA40="","",Summary_Products!AA40)</f>
        <v/>
      </c>
      <c r="AC56" s="615" t="str">
        <f>IF(Summary_Products!AB40="","",Summary_Products!AB40)</f>
        <v/>
      </c>
      <c r="AD56" s="615" t="str">
        <f>IF(Summary_Products!AC40="","",Summary_Products!AC40)</f>
        <v/>
      </c>
      <c r="AE56" s="615" t="str">
        <f>IF(Summary_Products!AD40="","",Summary_Products!AD40)</f>
        <v/>
      </c>
      <c r="AF56" s="615" t="str">
        <f>IF(Summary_Products!AE40="","",Summary_Products!AE40)</f>
        <v/>
      </c>
      <c r="AG56" s="615" t="str">
        <f>IF(Summary_Products!AF40="","",Summary_Products!AF40)</f>
        <v/>
      </c>
      <c r="AH56" s="615" t="str">
        <f>IF(Summary_Products!AG40="","",Summary_Products!AG40)</f>
        <v/>
      </c>
      <c r="AI56" s="615" t="str">
        <f>IF(Summary_Products!AH40="","",Summary_Products!AH40)</f>
        <v/>
      </c>
      <c r="AJ56" s="615" t="str">
        <f>IF(Summary_Products!AI40="","",Summary_Products!AI40)</f>
        <v/>
      </c>
      <c r="AK56" s="615" t="str">
        <f>IF(Summary_Products!AJ40="","",Summary_Products!AJ40)</f>
        <v/>
      </c>
      <c r="AL56" s="615" t="str">
        <f>IF(Summary_Products!AK40="","",Summary_Products!AK40)</f>
        <v/>
      </c>
      <c r="AM56" s="421" t="str">
        <f>IF(Summary_Products!AL40="","",INDEX(Translations!$C:$C,MATCH(Summary_Products!AL40,Translations!$B:$B,0)))</f>
        <v/>
      </c>
      <c r="AN56" s="615" t="str">
        <f>IF(Summary_Products!AM40="","",Summary_Products!AM40)</f>
        <v/>
      </c>
      <c r="AO56" s="473" t="str">
        <f>IF(Summary_Products!AN40="","",Summary_Products!AN40)</f>
        <v/>
      </c>
      <c r="AP56" s="474" t="str">
        <f>IF(Summary_Products!AO40="","",Summary_Products!AO40)</f>
        <v/>
      </c>
      <c r="AQ56" s="160" t="str">
        <f>IF(Summary_Products!AP40="","",Summary_Products!AP40)</f>
        <v/>
      </c>
      <c r="AR56" s="477" t="str">
        <f>IF(Summary_Products!AR40="","",Summary_Products!AR40)</f>
        <v/>
      </c>
      <c r="AS56" s="474" t="str">
        <f>IF(Summary_Products!AS40="","",Summary_Products!AS40)</f>
        <v/>
      </c>
      <c r="AT56" s="421" t="str">
        <f>IF(Summary_Products!AT40="","",INDEX(Translations!$C:$C,MATCH(Summary_Products!AT40,Translations!$B:$B,0)))</f>
        <v/>
      </c>
      <c r="AU56" s="615" t="str">
        <f>IF(Summary_Products!AU40="","",Summary_Products!AU40)</f>
        <v/>
      </c>
      <c r="AV56" s="473" t="str">
        <f>IF(Summary_Products!AV40="","",Summary_Products!AV40)</f>
        <v/>
      </c>
      <c r="AW56" s="474" t="str">
        <f>IF(Summary_Products!AW40="","",Summary_Products!AW40)</f>
        <v/>
      </c>
      <c r="AX56" s="477" t="str">
        <f>IF(Summary_Products!AX40="","",Summary_Products!AX40)</f>
        <v/>
      </c>
      <c r="AY56" s="474" t="str">
        <f>IF(Summary_Products!AY40="","",Summary_Products!AY40)</f>
        <v/>
      </c>
      <c r="AZ56" s="477" t="str">
        <f>IF(Summary_Products!AZ40="","",Summary_Products!AZ40)</f>
        <v/>
      </c>
      <c r="BA56" s="478" t="str">
        <f>IF(Summary_Products!BA40="","",Summary_Products!BA40)</f>
        <v/>
      </c>
      <c r="BD56" s="156"/>
      <c r="BE56" s="156"/>
      <c r="BF56" s="156"/>
      <c r="BG56" s="156"/>
    </row>
    <row r="57" spans="2:59" ht="12.75"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782" t="str">
        <f t="shared" si="0"/>
        <v/>
      </c>
      <c r="Q57" s="160" t="str">
        <f>IF(Summary_Products!P41="","",INDEX(Translations!$C:$C,MATCH(Summary_Products!P41,Translations!$B:$B,0)))</f>
        <v/>
      </c>
      <c r="R57" s="160" t="str">
        <f>IF(Summary_Products!Q41="","",Summary_Products!Q41)</f>
        <v/>
      </c>
      <c r="S57" s="615" t="str">
        <f>IF(Summary_Products!R41="","",Summary_Products!R41)</f>
        <v/>
      </c>
      <c r="T57" s="615" t="str">
        <f>IF(Summary_Products!S41="","",Summary_Products!S41)</f>
        <v/>
      </c>
      <c r="U57" s="615" t="str">
        <f>IF(Summary_Products!T41="","",Summary_Products!T41)</f>
        <v/>
      </c>
      <c r="V57" s="615" t="str">
        <f>IF(Summary_Products!U41="","",Summary_Products!U41)</f>
        <v/>
      </c>
      <c r="W57" s="615" t="str">
        <f>IF(Summary_Products!V41="","",Summary_Products!V41)</f>
        <v/>
      </c>
      <c r="X57" s="615" t="str">
        <f>IF(Summary_Products!W41="","",Summary_Products!W41)</f>
        <v/>
      </c>
      <c r="Y57" s="615" t="str">
        <f>IF(Summary_Products!X41="","",Summary_Products!X41)</f>
        <v/>
      </c>
      <c r="Z57" s="615" t="str">
        <f>IF(Summary_Products!Y41="","",Summary_Products!Y41)</f>
        <v/>
      </c>
      <c r="AA57" s="615" t="str">
        <f>IF(Summary_Products!Z41="","",Summary_Products!Z41)</f>
        <v/>
      </c>
      <c r="AB57" s="615" t="str">
        <f>IF(Summary_Products!AA41="","",Summary_Products!AA41)</f>
        <v/>
      </c>
      <c r="AC57" s="615" t="str">
        <f>IF(Summary_Products!AB41="","",Summary_Products!AB41)</f>
        <v/>
      </c>
      <c r="AD57" s="615" t="str">
        <f>IF(Summary_Products!AC41="","",Summary_Products!AC41)</f>
        <v/>
      </c>
      <c r="AE57" s="615" t="str">
        <f>IF(Summary_Products!AD41="","",Summary_Products!AD41)</f>
        <v/>
      </c>
      <c r="AF57" s="615" t="str">
        <f>IF(Summary_Products!AE41="","",Summary_Products!AE41)</f>
        <v/>
      </c>
      <c r="AG57" s="615" t="str">
        <f>IF(Summary_Products!AF41="","",Summary_Products!AF41)</f>
        <v/>
      </c>
      <c r="AH57" s="615" t="str">
        <f>IF(Summary_Products!AG41="","",Summary_Products!AG41)</f>
        <v/>
      </c>
      <c r="AI57" s="615" t="str">
        <f>IF(Summary_Products!AH41="","",Summary_Products!AH41)</f>
        <v/>
      </c>
      <c r="AJ57" s="615" t="str">
        <f>IF(Summary_Products!AI41="","",Summary_Products!AI41)</f>
        <v/>
      </c>
      <c r="AK57" s="615" t="str">
        <f>IF(Summary_Products!AJ41="","",Summary_Products!AJ41)</f>
        <v/>
      </c>
      <c r="AL57" s="615" t="str">
        <f>IF(Summary_Products!AK41="","",Summary_Products!AK41)</f>
        <v/>
      </c>
      <c r="AM57" s="421" t="str">
        <f>IF(Summary_Products!AL41="","",INDEX(Translations!$C:$C,MATCH(Summary_Products!AL41,Translations!$B:$B,0)))</f>
        <v/>
      </c>
      <c r="AN57" s="615" t="str">
        <f>IF(Summary_Products!AM41="","",Summary_Products!AM41)</f>
        <v/>
      </c>
      <c r="AO57" s="473" t="str">
        <f>IF(Summary_Products!AN41="","",Summary_Products!AN41)</f>
        <v/>
      </c>
      <c r="AP57" s="474" t="str">
        <f>IF(Summary_Products!AO41="","",Summary_Products!AO41)</f>
        <v/>
      </c>
      <c r="AQ57" s="160" t="str">
        <f>IF(Summary_Products!AP41="","",Summary_Products!AP41)</f>
        <v/>
      </c>
      <c r="AR57" s="477" t="str">
        <f>IF(Summary_Products!AR41="","",Summary_Products!AR41)</f>
        <v/>
      </c>
      <c r="AS57" s="474" t="str">
        <f>IF(Summary_Products!AS41="","",Summary_Products!AS41)</f>
        <v/>
      </c>
      <c r="AT57" s="421" t="str">
        <f>IF(Summary_Products!AT41="","",INDEX(Translations!$C:$C,MATCH(Summary_Products!AT41,Translations!$B:$B,0)))</f>
        <v/>
      </c>
      <c r="AU57" s="615" t="str">
        <f>IF(Summary_Products!AU41="","",Summary_Products!AU41)</f>
        <v/>
      </c>
      <c r="AV57" s="473" t="str">
        <f>IF(Summary_Products!AV41="","",Summary_Products!AV41)</f>
        <v/>
      </c>
      <c r="AW57" s="474" t="str">
        <f>IF(Summary_Products!AW41="","",Summary_Products!AW41)</f>
        <v/>
      </c>
      <c r="AX57" s="477" t="str">
        <f>IF(Summary_Products!AX41="","",Summary_Products!AX41)</f>
        <v/>
      </c>
      <c r="AY57" s="474" t="str">
        <f>IF(Summary_Products!AY41="","",Summary_Products!AY41)</f>
        <v/>
      </c>
      <c r="AZ57" s="477" t="str">
        <f>IF(Summary_Products!AZ41="","",Summary_Products!AZ41)</f>
        <v/>
      </c>
      <c r="BA57" s="478" t="str">
        <f>IF(Summary_Products!BA41="","",Summary_Products!BA41)</f>
        <v/>
      </c>
      <c r="BD57" s="156"/>
      <c r="BE57" s="156"/>
      <c r="BF57" s="156"/>
      <c r="BG57" s="156"/>
    </row>
    <row r="58" spans="2:59" ht="12.75"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782" t="str">
        <f t="shared" si="0"/>
        <v/>
      </c>
      <c r="Q58" s="160" t="str">
        <f>IF(Summary_Products!P42="","",INDEX(Translations!$C:$C,MATCH(Summary_Products!P42,Translations!$B:$B,0)))</f>
        <v/>
      </c>
      <c r="R58" s="160" t="str">
        <f>IF(Summary_Products!Q42="","",Summary_Products!Q42)</f>
        <v/>
      </c>
      <c r="S58" s="615" t="str">
        <f>IF(Summary_Products!R42="","",Summary_Products!R42)</f>
        <v/>
      </c>
      <c r="T58" s="615" t="str">
        <f>IF(Summary_Products!S42="","",Summary_Products!S42)</f>
        <v/>
      </c>
      <c r="U58" s="615" t="str">
        <f>IF(Summary_Products!T42="","",Summary_Products!T42)</f>
        <v/>
      </c>
      <c r="V58" s="615" t="str">
        <f>IF(Summary_Products!U42="","",Summary_Products!U42)</f>
        <v/>
      </c>
      <c r="W58" s="615" t="str">
        <f>IF(Summary_Products!V42="","",Summary_Products!V42)</f>
        <v/>
      </c>
      <c r="X58" s="615" t="str">
        <f>IF(Summary_Products!W42="","",Summary_Products!W42)</f>
        <v/>
      </c>
      <c r="Y58" s="615" t="str">
        <f>IF(Summary_Products!X42="","",Summary_Products!X42)</f>
        <v/>
      </c>
      <c r="Z58" s="615" t="str">
        <f>IF(Summary_Products!Y42="","",Summary_Products!Y42)</f>
        <v/>
      </c>
      <c r="AA58" s="615" t="str">
        <f>IF(Summary_Products!Z42="","",Summary_Products!Z42)</f>
        <v/>
      </c>
      <c r="AB58" s="615" t="str">
        <f>IF(Summary_Products!AA42="","",Summary_Products!AA42)</f>
        <v/>
      </c>
      <c r="AC58" s="615" t="str">
        <f>IF(Summary_Products!AB42="","",Summary_Products!AB42)</f>
        <v/>
      </c>
      <c r="AD58" s="615" t="str">
        <f>IF(Summary_Products!AC42="","",Summary_Products!AC42)</f>
        <v/>
      </c>
      <c r="AE58" s="615" t="str">
        <f>IF(Summary_Products!AD42="","",Summary_Products!AD42)</f>
        <v/>
      </c>
      <c r="AF58" s="615" t="str">
        <f>IF(Summary_Products!AE42="","",Summary_Products!AE42)</f>
        <v/>
      </c>
      <c r="AG58" s="615" t="str">
        <f>IF(Summary_Products!AF42="","",Summary_Products!AF42)</f>
        <v/>
      </c>
      <c r="AH58" s="615" t="str">
        <f>IF(Summary_Products!AG42="","",Summary_Products!AG42)</f>
        <v/>
      </c>
      <c r="AI58" s="615" t="str">
        <f>IF(Summary_Products!AH42="","",Summary_Products!AH42)</f>
        <v/>
      </c>
      <c r="AJ58" s="615" t="str">
        <f>IF(Summary_Products!AI42="","",Summary_Products!AI42)</f>
        <v/>
      </c>
      <c r="AK58" s="615" t="str">
        <f>IF(Summary_Products!AJ42="","",Summary_Products!AJ42)</f>
        <v/>
      </c>
      <c r="AL58" s="615" t="str">
        <f>IF(Summary_Products!AK42="","",Summary_Products!AK42)</f>
        <v/>
      </c>
      <c r="AM58" s="421" t="str">
        <f>IF(Summary_Products!AL42="","",INDEX(Translations!$C:$C,MATCH(Summary_Products!AL42,Translations!$B:$B,0)))</f>
        <v/>
      </c>
      <c r="AN58" s="615" t="str">
        <f>IF(Summary_Products!AM42="","",Summary_Products!AM42)</f>
        <v/>
      </c>
      <c r="AO58" s="473" t="str">
        <f>IF(Summary_Products!AN42="","",Summary_Products!AN42)</f>
        <v/>
      </c>
      <c r="AP58" s="474" t="str">
        <f>IF(Summary_Products!AO42="","",Summary_Products!AO42)</f>
        <v/>
      </c>
      <c r="AQ58" s="160" t="str">
        <f>IF(Summary_Products!AP42="","",Summary_Products!AP42)</f>
        <v/>
      </c>
      <c r="AR58" s="477" t="str">
        <f>IF(Summary_Products!AR42="","",Summary_Products!AR42)</f>
        <v/>
      </c>
      <c r="AS58" s="474" t="str">
        <f>IF(Summary_Products!AS42="","",Summary_Products!AS42)</f>
        <v/>
      </c>
      <c r="AT58" s="421" t="str">
        <f>IF(Summary_Products!AT42="","",INDEX(Translations!$C:$C,MATCH(Summary_Products!AT42,Translations!$B:$B,0)))</f>
        <v/>
      </c>
      <c r="AU58" s="615" t="str">
        <f>IF(Summary_Products!AU42="","",Summary_Products!AU42)</f>
        <v/>
      </c>
      <c r="AV58" s="473" t="str">
        <f>IF(Summary_Products!AV42="","",Summary_Products!AV42)</f>
        <v/>
      </c>
      <c r="AW58" s="474" t="str">
        <f>IF(Summary_Products!AW42="","",Summary_Products!AW42)</f>
        <v/>
      </c>
      <c r="AX58" s="477" t="str">
        <f>IF(Summary_Products!AX42="","",Summary_Products!AX42)</f>
        <v/>
      </c>
      <c r="AY58" s="474" t="str">
        <f>IF(Summary_Products!AY42="","",Summary_Products!AY42)</f>
        <v/>
      </c>
      <c r="AZ58" s="477" t="str">
        <f>IF(Summary_Products!AZ42="","",Summary_Products!AZ42)</f>
        <v/>
      </c>
      <c r="BA58" s="478" t="str">
        <f>IF(Summary_Products!BA42="","",Summary_Products!BA42)</f>
        <v/>
      </c>
      <c r="BD58" s="156"/>
      <c r="BE58" s="156"/>
      <c r="BF58" s="156"/>
      <c r="BG58" s="156"/>
    </row>
    <row r="59" spans="2:59" ht="12.75"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782" t="str">
        <f t="shared" si="0"/>
        <v/>
      </c>
      <c r="Q59" s="160" t="str">
        <f>IF(Summary_Products!P43="","",INDEX(Translations!$C:$C,MATCH(Summary_Products!P43,Translations!$B:$B,0)))</f>
        <v/>
      </c>
      <c r="R59" s="160" t="str">
        <f>IF(Summary_Products!Q43="","",Summary_Products!Q43)</f>
        <v/>
      </c>
      <c r="S59" s="615" t="str">
        <f>IF(Summary_Products!R43="","",Summary_Products!R43)</f>
        <v/>
      </c>
      <c r="T59" s="615" t="str">
        <f>IF(Summary_Products!S43="","",Summary_Products!S43)</f>
        <v/>
      </c>
      <c r="U59" s="615" t="str">
        <f>IF(Summary_Products!T43="","",Summary_Products!T43)</f>
        <v/>
      </c>
      <c r="V59" s="615" t="str">
        <f>IF(Summary_Products!U43="","",Summary_Products!U43)</f>
        <v/>
      </c>
      <c r="W59" s="615" t="str">
        <f>IF(Summary_Products!V43="","",Summary_Products!V43)</f>
        <v/>
      </c>
      <c r="X59" s="615" t="str">
        <f>IF(Summary_Products!W43="","",Summary_Products!W43)</f>
        <v/>
      </c>
      <c r="Y59" s="615" t="str">
        <f>IF(Summary_Products!X43="","",Summary_Products!X43)</f>
        <v/>
      </c>
      <c r="Z59" s="615" t="str">
        <f>IF(Summary_Products!Y43="","",Summary_Products!Y43)</f>
        <v/>
      </c>
      <c r="AA59" s="615" t="str">
        <f>IF(Summary_Products!Z43="","",Summary_Products!Z43)</f>
        <v/>
      </c>
      <c r="AB59" s="615" t="str">
        <f>IF(Summary_Products!AA43="","",Summary_Products!AA43)</f>
        <v/>
      </c>
      <c r="AC59" s="615" t="str">
        <f>IF(Summary_Products!AB43="","",Summary_Products!AB43)</f>
        <v/>
      </c>
      <c r="AD59" s="615" t="str">
        <f>IF(Summary_Products!AC43="","",Summary_Products!AC43)</f>
        <v/>
      </c>
      <c r="AE59" s="615" t="str">
        <f>IF(Summary_Products!AD43="","",Summary_Products!AD43)</f>
        <v/>
      </c>
      <c r="AF59" s="615" t="str">
        <f>IF(Summary_Products!AE43="","",Summary_Products!AE43)</f>
        <v/>
      </c>
      <c r="AG59" s="615" t="str">
        <f>IF(Summary_Products!AF43="","",Summary_Products!AF43)</f>
        <v/>
      </c>
      <c r="AH59" s="615" t="str">
        <f>IF(Summary_Products!AG43="","",Summary_Products!AG43)</f>
        <v/>
      </c>
      <c r="AI59" s="615" t="str">
        <f>IF(Summary_Products!AH43="","",Summary_Products!AH43)</f>
        <v/>
      </c>
      <c r="AJ59" s="615" t="str">
        <f>IF(Summary_Products!AI43="","",Summary_Products!AI43)</f>
        <v/>
      </c>
      <c r="AK59" s="615" t="str">
        <f>IF(Summary_Products!AJ43="","",Summary_Products!AJ43)</f>
        <v/>
      </c>
      <c r="AL59" s="615" t="str">
        <f>IF(Summary_Products!AK43="","",Summary_Products!AK43)</f>
        <v/>
      </c>
      <c r="AM59" s="421" t="str">
        <f>IF(Summary_Products!AL43="","",INDEX(Translations!$C:$C,MATCH(Summary_Products!AL43,Translations!$B:$B,0)))</f>
        <v/>
      </c>
      <c r="AN59" s="615" t="str">
        <f>IF(Summary_Products!AM43="","",Summary_Products!AM43)</f>
        <v/>
      </c>
      <c r="AO59" s="473" t="str">
        <f>IF(Summary_Products!AN43="","",Summary_Products!AN43)</f>
        <v/>
      </c>
      <c r="AP59" s="474" t="str">
        <f>IF(Summary_Products!AO43="","",Summary_Products!AO43)</f>
        <v/>
      </c>
      <c r="AQ59" s="160" t="str">
        <f>IF(Summary_Products!AP43="","",Summary_Products!AP43)</f>
        <v/>
      </c>
      <c r="AR59" s="477" t="str">
        <f>IF(Summary_Products!AR43="","",Summary_Products!AR43)</f>
        <v/>
      </c>
      <c r="AS59" s="474" t="str">
        <f>IF(Summary_Products!AS43="","",Summary_Products!AS43)</f>
        <v/>
      </c>
      <c r="AT59" s="421" t="str">
        <f>IF(Summary_Products!AT43="","",INDEX(Translations!$C:$C,MATCH(Summary_Products!AT43,Translations!$B:$B,0)))</f>
        <v/>
      </c>
      <c r="AU59" s="615" t="str">
        <f>IF(Summary_Products!AU43="","",Summary_Products!AU43)</f>
        <v/>
      </c>
      <c r="AV59" s="473" t="str">
        <f>IF(Summary_Products!AV43="","",Summary_Products!AV43)</f>
        <v/>
      </c>
      <c r="AW59" s="474" t="str">
        <f>IF(Summary_Products!AW43="","",Summary_Products!AW43)</f>
        <v/>
      </c>
      <c r="AX59" s="477" t="str">
        <f>IF(Summary_Products!AX43="","",Summary_Products!AX43)</f>
        <v/>
      </c>
      <c r="AY59" s="474" t="str">
        <f>IF(Summary_Products!AY43="","",Summary_Products!AY43)</f>
        <v/>
      </c>
      <c r="AZ59" s="477" t="str">
        <f>IF(Summary_Products!AZ43="","",Summary_Products!AZ43)</f>
        <v/>
      </c>
      <c r="BA59" s="478" t="str">
        <f>IF(Summary_Products!BA43="","",Summary_Products!BA43)</f>
        <v/>
      </c>
      <c r="BD59" s="156"/>
      <c r="BE59" s="156"/>
      <c r="BF59" s="156"/>
      <c r="BG59" s="156"/>
    </row>
    <row r="60" spans="2:59" ht="12.75"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782" t="str">
        <f t="shared" si="0"/>
        <v/>
      </c>
      <c r="Q60" s="160" t="str">
        <f>IF(Summary_Products!P44="","",INDEX(Translations!$C:$C,MATCH(Summary_Products!P44,Translations!$B:$B,0)))</f>
        <v/>
      </c>
      <c r="R60" s="160" t="str">
        <f>IF(Summary_Products!Q44="","",Summary_Products!Q44)</f>
        <v/>
      </c>
      <c r="S60" s="615" t="str">
        <f>IF(Summary_Products!R44="","",Summary_Products!R44)</f>
        <v/>
      </c>
      <c r="T60" s="615" t="str">
        <f>IF(Summary_Products!S44="","",Summary_Products!S44)</f>
        <v/>
      </c>
      <c r="U60" s="615" t="str">
        <f>IF(Summary_Products!T44="","",Summary_Products!T44)</f>
        <v/>
      </c>
      <c r="V60" s="615" t="str">
        <f>IF(Summary_Products!U44="","",Summary_Products!U44)</f>
        <v/>
      </c>
      <c r="W60" s="615" t="str">
        <f>IF(Summary_Products!V44="","",Summary_Products!V44)</f>
        <v/>
      </c>
      <c r="X60" s="615" t="str">
        <f>IF(Summary_Products!W44="","",Summary_Products!W44)</f>
        <v/>
      </c>
      <c r="Y60" s="615" t="str">
        <f>IF(Summary_Products!X44="","",Summary_Products!X44)</f>
        <v/>
      </c>
      <c r="Z60" s="615" t="str">
        <f>IF(Summary_Products!Y44="","",Summary_Products!Y44)</f>
        <v/>
      </c>
      <c r="AA60" s="615" t="str">
        <f>IF(Summary_Products!Z44="","",Summary_Products!Z44)</f>
        <v/>
      </c>
      <c r="AB60" s="615" t="str">
        <f>IF(Summary_Products!AA44="","",Summary_Products!AA44)</f>
        <v/>
      </c>
      <c r="AC60" s="615" t="str">
        <f>IF(Summary_Products!AB44="","",Summary_Products!AB44)</f>
        <v/>
      </c>
      <c r="AD60" s="615" t="str">
        <f>IF(Summary_Products!AC44="","",Summary_Products!AC44)</f>
        <v/>
      </c>
      <c r="AE60" s="615" t="str">
        <f>IF(Summary_Products!AD44="","",Summary_Products!AD44)</f>
        <v/>
      </c>
      <c r="AF60" s="615" t="str">
        <f>IF(Summary_Products!AE44="","",Summary_Products!AE44)</f>
        <v/>
      </c>
      <c r="AG60" s="615" t="str">
        <f>IF(Summary_Products!AF44="","",Summary_Products!AF44)</f>
        <v/>
      </c>
      <c r="AH60" s="615" t="str">
        <f>IF(Summary_Products!AG44="","",Summary_Products!AG44)</f>
        <v/>
      </c>
      <c r="AI60" s="615" t="str">
        <f>IF(Summary_Products!AH44="","",Summary_Products!AH44)</f>
        <v/>
      </c>
      <c r="AJ60" s="615" t="str">
        <f>IF(Summary_Products!AI44="","",Summary_Products!AI44)</f>
        <v/>
      </c>
      <c r="AK60" s="615" t="str">
        <f>IF(Summary_Products!AJ44="","",Summary_Products!AJ44)</f>
        <v/>
      </c>
      <c r="AL60" s="615" t="str">
        <f>IF(Summary_Products!AK44="","",Summary_Products!AK44)</f>
        <v/>
      </c>
      <c r="AM60" s="421" t="str">
        <f>IF(Summary_Products!AL44="","",INDEX(Translations!$C:$C,MATCH(Summary_Products!AL44,Translations!$B:$B,0)))</f>
        <v/>
      </c>
      <c r="AN60" s="615" t="str">
        <f>IF(Summary_Products!AM44="","",Summary_Products!AM44)</f>
        <v/>
      </c>
      <c r="AO60" s="473" t="str">
        <f>IF(Summary_Products!AN44="","",Summary_Products!AN44)</f>
        <v/>
      </c>
      <c r="AP60" s="474" t="str">
        <f>IF(Summary_Products!AO44="","",Summary_Products!AO44)</f>
        <v/>
      </c>
      <c r="AQ60" s="160" t="str">
        <f>IF(Summary_Products!AP44="","",Summary_Products!AP44)</f>
        <v/>
      </c>
      <c r="AR60" s="477" t="str">
        <f>IF(Summary_Products!AR44="","",Summary_Products!AR44)</f>
        <v/>
      </c>
      <c r="AS60" s="474" t="str">
        <f>IF(Summary_Products!AS44="","",Summary_Products!AS44)</f>
        <v/>
      </c>
      <c r="AT60" s="421" t="str">
        <f>IF(Summary_Products!AT44="","",INDEX(Translations!$C:$C,MATCH(Summary_Products!AT44,Translations!$B:$B,0)))</f>
        <v/>
      </c>
      <c r="AU60" s="615" t="str">
        <f>IF(Summary_Products!AU44="","",Summary_Products!AU44)</f>
        <v/>
      </c>
      <c r="AV60" s="473" t="str">
        <f>IF(Summary_Products!AV44="","",Summary_Products!AV44)</f>
        <v/>
      </c>
      <c r="AW60" s="474" t="str">
        <f>IF(Summary_Products!AW44="","",Summary_Products!AW44)</f>
        <v/>
      </c>
      <c r="AX60" s="477" t="str">
        <f>IF(Summary_Products!AX44="","",Summary_Products!AX44)</f>
        <v/>
      </c>
      <c r="AY60" s="474" t="str">
        <f>IF(Summary_Products!AY44="","",Summary_Products!AY44)</f>
        <v/>
      </c>
      <c r="AZ60" s="477" t="str">
        <f>IF(Summary_Products!AZ44="","",Summary_Products!AZ44)</f>
        <v/>
      </c>
      <c r="BA60" s="478" t="str">
        <f>IF(Summary_Products!BA44="","",Summary_Products!BA44)</f>
        <v/>
      </c>
      <c r="BD60" s="156"/>
      <c r="BE60" s="156"/>
      <c r="BF60" s="156"/>
      <c r="BG60" s="156"/>
    </row>
    <row r="61" spans="2:59" ht="12.75"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782" t="str">
        <f t="shared" si="0"/>
        <v/>
      </c>
      <c r="Q61" s="160" t="str">
        <f>IF(Summary_Products!P45="","",INDEX(Translations!$C:$C,MATCH(Summary_Products!P45,Translations!$B:$B,0)))</f>
        <v/>
      </c>
      <c r="R61" s="160" t="str">
        <f>IF(Summary_Products!Q45="","",Summary_Products!Q45)</f>
        <v/>
      </c>
      <c r="S61" s="615" t="str">
        <f>IF(Summary_Products!R45="","",Summary_Products!R45)</f>
        <v/>
      </c>
      <c r="T61" s="615" t="str">
        <f>IF(Summary_Products!S45="","",Summary_Products!S45)</f>
        <v/>
      </c>
      <c r="U61" s="615" t="str">
        <f>IF(Summary_Products!T45="","",Summary_Products!T45)</f>
        <v/>
      </c>
      <c r="V61" s="615" t="str">
        <f>IF(Summary_Products!U45="","",Summary_Products!U45)</f>
        <v/>
      </c>
      <c r="W61" s="615" t="str">
        <f>IF(Summary_Products!V45="","",Summary_Products!V45)</f>
        <v/>
      </c>
      <c r="X61" s="615" t="str">
        <f>IF(Summary_Products!W45="","",Summary_Products!W45)</f>
        <v/>
      </c>
      <c r="Y61" s="615" t="str">
        <f>IF(Summary_Products!X45="","",Summary_Products!X45)</f>
        <v/>
      </c>
      <c r="Z61" s="615" t="str">
        <f>IF(Summary_Products!Y45="","",Summary_Products!Y45)</f>
        <v/>
      </c>
      <c r="AA61" s="615" t="str">
        <f>IF(Summary_Products!Z45="","",Summary_Products!Z45)</f>
        <v/>
      </c>
      <c r="AB61" s="615" t="str">
        <f>IF(Summary_Products!AA45="","",Summary_Products!AA45)</f>
        <v/>
      </c>
      <c r="AC61" s="615" t="str">
        <f>IF(Summary_Products!AB45="","",Summary_Products!AB45)</f>
        <v/>
      </c>
      <c r="AD61" s="615" t="str">
        <f>IF(Summary_Products!AC45="","",Summary_Products!AC45)</f>
        <v/>
      </c>
      <c r="AE61" s="615" t="str">
        <f>IF(Summary_Products!AD45="","",Summary_Products!AD45)</f>
        <v/>
      </c>
      <c r="AF61" s="615" t="str">
        <f>IF(Summary_Products!AE45="","",Summary_Products!AE45)</f>
        <v/>
      </c>
      <c r="AG61" s="615" t="str">
        <f>IF(Summary_Products!AF45="","",Summary_Products!AF45)</f>
        <v/>
      </c>
      <c r="AH61" s="615" t="str">
        <f>IF(Summary_Products!AG45="","",Summary_Products!AG45)</f>
        <v/>
      </c>
      <c r="AI61" s="615" t="str">
        <f>IF(Summary_Products!AH45="","",Summary_Products!AH45)</f>
        <v/>
      </c>
      <c r="AJ61" s="615" t="str">
        <f>IF(Summary_Products!AI45="","",Summary_Products!AI45)</f>
        <v/>
      </c>
      <c r="AK61" s="615" t="str">
        <f>IF(Summary_Products!AJ45="","",Summary_Products!AJ45)</f>
        <v/>
      </c>
      <c r="AL61" s="615" t="str">
        <f>IF(Summary_Products!AK45="","",Summary_Products!AK45)</f>
        <v/>
      </c>
      <c r="AM61" s="421" t="str">
        <f>IF(Summary_Products!AL45="","",INDEX(Translations!$C:$C,MATCH(Summary_Products!AL45,Translations!$B:$B,0)))</f>
        <v/>
      </c>
      <c r="AN61" s="615" t="str">
        <f>IF(Summary_Products!AM45="","",Summary_Products!AM45)</f>
        <v/>
      </c>
      <c r="AO61" s="473" t="str">
        <f>IF(Summary_Products!AN45="","",Summary_Products!AN45)</f>
        <v/>
      </c>
      <c r="AP61" s="474" t="str">
        <f>IF(Summary_Products!AO45="","",Summary_Products!AO45)</f>
        <v/>
      </c>
      <c r="AQ61" s="160" t="str">
        <f>IF(Summary_Products!AP45="","",Summary_Products!AP45)</f>
        <v/>
      </c>
      <c r="AR61" s="477" t="str">
        <f>IF(Summary_Products!AR45="","",Summary_Products!AR45)</f>
        <v/>
      </c>
      <c r="AS61" s="474" t="str">
        <f>IF(Summary_Products!AS45="","",Summary_Products!AS45)</f>
        <v/>
      </c>
      <c r="AT61" s="421" t="str">
        <f>IF(Summary_Products!AT45="","",INDEX(Translations!$C:$C,MATCH(Summary_Products!AT45,Translations!$B:$B,0)))</f>
        <v/>
      </c>
      <c r="AU61" s="615" t="str">
        <f>IF(Summary_Products!AU45="","",Summary_Products!AU45)</f>
        <v/>
      </c>
      <c r="AV61" s="473" t="str">
        <f>IF(Summary_Products!AV45="","",Summary_Products!AV45)</f>
        <v/>
      </c>
      <c r="AW61" s="474" t="str">
        <f>IF(Summary_Products!AW45="","",Summary_Products!AW45)</f>
        <v/>
      </c>
      <c r="AX61" s="477" t="str">
        <f>IF(Summary_Products!AX45="","",Summary_Products!AX45)</f>
        <v/>
      </c>
      <c r="AY61" s="474" t="str">
        <f>IF(Summary_Products!AY45="","",Summary_Products!AY45)</f>
        <v/>
      </c>
      <c r="AZ61" s="477" t="str">
        <f>IF(Summary_Products!AZ45="","",Summary_Products!AZ45)</f>
        <v/>
      </c>
      <c r="BA61" s="478" t="str">
        <f>IF(Summary_Products!BA45="","",Summary_Products!BA45)</f>
        <v/>
      </c>
      <c r="BD61" s="156"/>
      <c r="BE61" s="156"/>
      <c r="BF61" s="156"/>
      <c r="BG61" s="156"/>
    </row>
    <row r="62" spans="2:59" ht="12.75"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782" t="str">
        <f t="shared" si="0"/>
        <v/>
      </c>
      <c r="Q62" s="160" t="str">
        <f>IF(Summary_Products!P46="","",INDEX(Translations!$C:$C,MATCH(Summary_Products!P46,Translations!$B:$B,0)))</f>
        <v/>
      </c>
      <c r="R62" s="160" t="str">
        <f>IF(Summary_Products!Q46="","",Summary_Products!Q46)</f>
        <v/>
      </c>
      <c r="S62" s="615" t="str">
        <f>IF(Summary_Products!R46="","",Summary_Products!R46)</f>
        <v/>
      </c>
      <c r="T62" s="615" t="str">
        <f>IF(Summary_Products!S46="","",Summary_Products!S46)</f>
        <v/>
      </c>
      <c r="U62" s="615" t="str">
        <f>IF(Summary_Products!T46="","",Summary_Products!T46)</f>
        <v/>
      </c>
      <c r="V62" s="615" t="str">
        <f>IF(Summary_Products!U46="","",Summary_Products!U46)</f>
        <v/>
      </c>
      <c r="W62" s="615" t="str">
        <f>IF(Summary_Products!V46="","",Summary_Products!V46)</f>
        <v/>
      </c>
      <c r="X62" s="615" t="str">
        <f>IF(Summary_Products!W46="","",Summary_Products!W46)</f>
        <v/>
      </c>
      <c r="Y62" s="615" t="str">
        <f>IF(Summary_Products!X46="","",Summary_Products!X46)</f>
        <v/>
      </c>
      <c r="Z62" s="615" t="str">
        <f>IF(Summary_Products!Y46="","",Summary_Products!Y46)</f>
        <v/>
      </c>
      <c r="AA62" s="615" t="str">
        <f>IF(Summary_Products!Z46="","",Summary_Products!Z46)</f>
        <v/>
      </c>
      <c r="AB62" s="615" t="str">
        <f>IF(Summary_Products!AA46="","",Summary_Products!AA46)</f>
        <v/>
      </c>
      <c r="AC62" s="615" t="str">
        <f>IF(Summary_Products!AB46="","",Summary_Products!AB46)</f>
        <v/>
      </c>
      <c r="AD62" s="615" t="str">
        <f>IF(Summary_Products!AC46="","",Summary_Products!AC46)</f>
        <v/>
      </c>
      <c r="AE62" s="615" t="str">
        <f>IF(Summary_Products!AD46="","",Summary_Products!AD46)</f>
        <v/>
      </c>
      <c r="AF62" s="615" t="str">
        <f>IF(Summary_Products!AE46="","",Summary_Products!AE46)</f>
        <v/>
      </c>
      <c r="AG62" s="615" t="str">
        <f>IF(Summary_Products!AF46="","",Summary_Products!AF46)</f>
        <v/>
      </c>
      <c r="AH62" s="615" t="str">
        <f>IF(Summary_Products!AG46="","",Summary_Products!AG46)</f>
        <v/>
      </c>
      <c r="AI62" s="615" t="str">
        <f>IF(Summary_Products!AH46="","",Summary_Products!AH46)</f>
        <v/>
      </c>
      <c r="AJ62" s="615" t="str">
        <f>IF(Summary_Products!AI46="","",Summary_Products!AI46)</f>
        <v/>
      </c>
      <c r="AK62" s="615" t="str">
        <f>IF(Summary_Products!AJ46="","",Summary_Products!AJ46)</f>
        <v/>
      </c>
      <c r="AL62" s="615" t="str">
        <f>IF(Summary_Products!AK46="","",Summary_Products!AK46)</f>
        <v/>
      </c>
      <c r="AM62" s="421" t="str">
        <f>IF(Summary_Products!AL46="","",INDEX(Translations!$C:$C,MATCH(Summary_Products!AL46,Translations!$B:$B,0)))</f>
        <v/>
      </c>
      <c r="AN62" s="615" t="str">
        <f>IF(Summary_Products!AM46="","",Summary_Products!AM46)</f>
        <v/>
      </c>
      <c r="AO62" s="473" t="str">
        <f>IF(Summary_Products!AN46="","",Summary_Products!AN46)</f>
        <v/>
      </c>
      <c r="AP62" s="474" t="str">
        <f>IF(Summary_Products!AO46="","",Summary_Products!AO46)</f>
        <v/>
      </c>
      <c r="AQ62" s="160" t="str">
        <f>IF(Summary_Products!AP46="","",Summary_Products!AP46)</f>
        <v/>
      </c>
      <c r="AR62" s="477" t="str">
        <f>IF(Summary_Products!AR46="","",Summary_Products!AR46)</f>
        <v/>
      </c>
      <c r="AS62" s="474" t="str">
        <f>IF(Summary_Products!AS46="","",Summary_Products!AS46)</f>
        <v/>
      </c>
      <c r="AT62" s="421" t="str">
        <f>IF(Summary_Products!AT46="","",INDEX(Translations!$C:$C,MATCH(Summary_Products!AT46,Translations!$B:$B,0)))</f>
        <v/>
      </c>
      <c r="AU62" s="615" t="str">
        <f>IF(Summary_Products!AU46="","",Summary_Products!AU46)</f>
        <v/>
      </c>
      <c r="AV62" s="473" t="str">
        <f>IF(Summary_Products!AV46="","",Summary_Products!AV46)</f>
        <v/>
      </c>
      <c r="AW62" s="474" t="str">
        <f>IF(Summary_Products!AW46="","",Summary_Products!AW46)</f>
        <v/>
      </c>
      <c r="AX62" s="477" t="str">
        <f>IF(Summary_Products!AX46="","",Summary_Products!AX46)</f>
        <v/>
      </c>
      <c r="AY62" s="474" t="str">
        <f>IF(Summary_Products!AY46="","",Summary_Products!AY46)</f>
        <v/>
      </c>
      <c r="AZ62" s="477" t="str">
        <f>IF(Summary_Products!AZ46="","",Summary_Products!AZ46)</f>
        <v/>
      </c>
      <c r="BA62" s="478" t="str">
        <f>IF(Summary_Products!BA46="","",Summary_Products!BA46)</f>
        <v/>
      </c>
      <c r="BD62" s="156"/>
      <c r="BE62" s="156"/>
      <c r="BF62" s="156"/>
      <c r="BG62" s="156"/>
    </row>
    <row r="63" spans="2:59" ht="12.75"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782" t="str">
        <f t="shared" si="0"/>
        <v/>
      </c>
      <c r="Q63" s="160" t="str">
        <f>IF(Summary_Products!P47="","",INDEX(Translations!$C:$C,MATCH(Summary_Products!P47,Translations!$B:$B,0)))</f>
        <v/>
      </c>
      <c r="R63" s="160" t="str">
        <f>IF(Summary_Products!Q47="","",Summary_Products!Q47)</f>
        <v/>
      </c>
      <c r="S63" s="615" t="str">
        <f>IF(Summary_Products!R47="","",Summary_Products!R47)</f>
        <v/>
      </c>
      <c r="T63" s="615" t="str">
        <f>IF(Summary_Products!S47="","",Summary_Products!S47)</f>
        <v/>
      </c>
      <c r="U63" s="615" t="str">
        <f>IF(Summary_Products!T47="","",Summary_Products!T47)</f>
        <v/>
      </c>
      <c r="V63" s="615" t="str">
        <f>IF(Summary_Products!U47="","",Summary_Products!U47)</f>
        <v/>
      </c>
      <c r="W63" s="615" t="str">
        <f>IF(Summary_Products!V47="","",Summary_Products!V47)</f>
        <v/>
      </c>
      <c r="X63" s="615" t="str">
        <f>IF(Summary_Products!W47="","",Summary_Products!W47)</f>
        <v/>
      </c>
      <c r="Y63" s="615" t="str">
        <f>IF(Summary_Products!X47="","",Summary_Products!X47)</f>
        <v/>
      </c>
      <c r="Z63" s="615" t="str">
        <f>IF(Summary_Products!Y47="","",Summary_Products!Y47)</f>
        <v/>
      </c>
      <c r="AA63" s="615" t="str">
        <f>IF(Summary_Products!Z47="","",Summary_Products!Z47)</f>
        <v/>
      </c>
      <c r="AB63" s="615" t="str">
        <f>IF(Summary_Products!AA47="","",Summary_Products!AA47)</f>
        <v/>
      </c>
      <c r="AC63" s="615" t="str">
        <f>IF(Summary_Products!AB47="","",Summary_Products!AB47)</f>
        <v/>
      </c>
      <c r="AD63" s="615" t="str">
        <f>IF(Summary_Products!AC47="","",Summary_Products!AC47)</f>
        <v/>
      </c>
      <c r="AE63" s="615" t="str">
        <f>IF(Summary_Products!AD47="","",Summary_Products!AD47)</f>
        <v/>
      </c>
      <c r="AF63" s="615" t="str">
        <f>IF(Summary_Products!AE47="","",Summary_Products!AE47)</f>
        <v/>
      </c>
      <c r="AG63" s="615" t="str">
        <f>IF(Summary_Products!AF47="","",Summary_Products!AF47)</f>
        <v/>
      </c>
      <c r="AH63" s="615" t="str">
        <f>IF(Summary_Products!AG47="","",Summary_Products!AG47)</f>
        <v/>
      </c>
      <c r="AI63" s="615" t="str">
        <f>IF(Summary_Products!AH47="","",Summary_Products!AH47)</f>
        <v/>
      </c>
      <c r="AJ63" s="615" t="str">
        <f>IF(Summary_Products!AI47="","",Summary_Products!AI47)</f>
        <v/>
      </c>
      <c r="AK63" s="615" t="str">
        <f>IF(Summary_Products!AJ47="","",Summary_Products!AJ47)</f>
        <v/>
      </c>
      <c r="AL63" s="615" t="str">
        <f>IF(Summary_Products!AK47="","",Summary_Products!AK47)</f>
        <v/>
      </c>
      <c r="AM63" s="421" t="str">
        <f>IF(Summary_Products!AL47="","",INDEX(Translations!$C:$C,MATCH(Summary_Products!AL47,Translations!$B:$B,0)))</f>
        <v/>
      </c>
      <c r="AN63" s="615" t="str">
        <f>IF(Summary_Products!AM47="","",Summary_Products!AM47)</f>
        <v/>
      </c>
      <c r="AO63" s="473" t="str">
        <f>IF(Summary_Products!AN47="","",Summary_Products!AN47)</f>
        <v/>
      </c>
      <c r="AP63" s="474" t="str">
        <f>IF(Summary_Products!AO47="","",Summary_Products!AO47)</f>
        <v/>
      </c>
      <c r="AQ63" s="160" t="str">
        <f>IF(Summary_Products!AP47="","",Summary_Products!AP47)</f>
        <v/>
      </c>
      <c r="AR63" s="477" t="str">
        <f>IF(Summary_Products!AR47="","",Summary_Products!AR47)</f>
        <v/>
      </c>
      <c r="AS63" s="474" t="str">
        <f>IF(Summary_Products!AS47="","",Summary_Products!AS47)</f>
        <v/>
      </c>
      <c r="AT63" s="421" t="str">
        <f>IF(Summary_Products!AT47="","",INDEX(Translations!$C:$C,MATCH(Summary_Products!AT47,Translations!$B:$B,0)))</f>
        <v/>
      </c>
      <c r="AU63" s="615" t="str">
        <f>IF(Summary_Products!AU47="","",Summary_Products!AU47)</f>
        <v/>
      </c>
      <c r="AV63" s="473" t="str">
        <f>IF(Summary_Products!AV47="","",Summary_Products!AV47)</f>
        <v/>
      </c>
      <c r="AW63" s="474" t="str">
        <f>IF(Summary_Products!AW47="","",Summary_Products!AW47)</f>
        <v/>
      </c>
      <c r="AX63" s="477" t="str">
        <f>IF(Summary_Products!AX47="","",Summary_Products!AX47)</f>
        <v/>
      </c>
      <c r="AY63" s="474" t="str">
        <f>IF(Summary_Products!AY47="","",Summary_Products!AY47)</f>
        <v/>
      </c>
      <c r="AZ63" s="477" t="str">
        <f>IF(Summary_Products!AZ47="","",Summary_Products!AZ47)</f>
        <v/>
      </c>
      <c r="BA63" s="478" t="str">
        <f>IF(Summary_Products!BA47="","",Summary_Products!BA47)</f>
        <v/>
      </c>
      <c r="BD63" s="156"/>
      <c r="BE63" s="156"/>
      <c r="BF63" s="156"/>
      <c r="BG63" s="156"/>
    </row>
    <row r="64" spans="2:59" ht="12.75"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782" t="str">
        <f t="shared" si="0"/>
        <v/>
      </c>
      <c r="Q64" s="160" t="str">
        <f>IF(Summary_Products!P48="","",INDEX(Translations!$C:$C,MATCH(Summary_Products!P48,Translations!$B:$B,0)))</f>
        <v/>
      </c>
      <c r="R64" s="160" t="str">
        <f>IF(Summary_Products!Q48="","",Summary_Products!Q48)</f>
        <v/>
      </c>
      <c r="S64" s="615" t="str">
        <f>IF(Summary_Products!R48="","",Summary_Products!R48)</f>
        <v/>
      </c>
      <c r="T64" s="615" t="str">
        <f>IF(Summary_Products!S48="","",Summary_Products!S48)</f>
        <v/>
      </c>
      <c r="U64" s="615" t="str">
        <f>IF(Summary_Products!T48="","",Summary_Products!T48)</f>
        <v/>
      </c>
      <c r="V64" s="615" t="str">
        <f>IF(Summary_Products!U48="","",Summary_Products!U48)</f>
        <v/>
      </c>
      <c r="W64" s="615" t="str">
        <f>IF(Summary_Products!V48="","",Summary_Products!V48)</f>
        <v/>
      </c>
      <c r="X64" s="615" t="str">
        <f>IF(Summary_Products!W48="","",Summary_Products!W48)</f>
        <v/>
      </c>
      <c r="Y64" s="615" t="str">
        <f>IF(Summary_Products!X48="","",Summary_Products!X48)</f>
        <v/>
      </c>
      <c r="Z64" s="615" t="str">
        <f>IF(Summary_Products!Y48="","",Summary_Products!Y48)</f>
        <v/>
      </c>
      <c r="AA64" s="615" t="str">
        <f>IF(Summary_Products!Z48="","",Summary_Products!Z48)</f>
        <v/>
      </c>
      <c r="AB64" s="615" t="str">
        <f>IF(Summary_Products!AA48="","",Summary_Products!AA48)</f>
        <v/>
      </c>
      <c r="AC64" s="615" t="str">
        <f>IF(Summary_Products!AB48="","",Summary_Products!AB48)</f>
        <v/>
      </c>
      <c r="AD64" s="615" t="str">
        <f>IF(Summary_Products!AC48="","",Summary_Products!AC48)</f>
        <v/>
      </c>
      <c r="AE64" s="615" t="str">
        <f>IF(Summary_Products!AD48="","",Summary_Products!AD48)</f>
        <v/>
      </c>
      <c r="AF64" s="615" t="str">
        <f>IF(Summary_Products!AE48="","",Summary_Products!AE48)</f>
        <v/>
      </c>
      <c r="AG64" s="615" t="str">
        <f>IF(Summary_Products!AF48="","",Summary_Products!AF48)</f>
        <v/>
      </c>
      <c r="AH64" s="615" t="str">
        <f>IF(Summary_Products!AG48="","",Summary_Products!AG48)</f>
        <v/>
      </c>
      <c r="AI64" s="615" t="str">
        <f>IF(Summary_Products!AH48="","",Summary_Products!AH48)</f>
        <v/>
      </c>
      <c r="AJ64" s="615" t="str">
        <f>IF(Summary_Products!AI48="","",Summary_Products!AI48)</f>
        <v/>
      </c>
      <c r="AK64" s="615" t="str">
        <f>IF(Summary_Products!AJ48="","",Summary_Products!AJ48)</f>
        <v/>
      </c>
      <c r="AL64" s="615" t="str">
        <f>IF(Summary_Products!AK48="","",Summary_Products!AK48)</f>
        <v/>
      </c>
      <c r="AM64" s="421" t="str">
        <f>IF(Summary_Products!AL48="","",INDEX(Translations!$C:$C,MATCH(Summary_Products!AL48,Translations!$B:$B,0)))</f>
        <v/>
      </c>
      <c r="AN64" s="615" t="str">
        <f>IF(Summary_Products!AM48="","",Summary_Products!AM48)</f>
        <v/>
      </c>
      <c r="AO64" s="473" t="str">
        <f>IF(Summary_Products!AN48="","",Summary_Products!AN48)</f>
        <v/>
      </c>
      <c r="AP64" s="474" t="str">
        <f>IF(Summary_Products!AO48="","",Summary_Products!AO48)</f>
        <v/>
      </c>
      <c r="AQ64" s="160" t="str">
        <f>IF(Summary_Products!AP48="","",Summary_Products!AP48)</f>
        <v/>
      </c>
      <c r="AR64" s="477" t="str">
        <f>IF(Summary_Products!AR48="","",Summary_Products!AR48)</f>
        <v/>
      </c>
      <c r="AS64" s="474" t="str">
        <f>IF(Summary_Products!AS48="","",Summary_Products!AS48)</f>
        <v/>
      </c>
      <c r="AT64" s="421" t="str">
        <f>IF(Summary_Products!AT48="","",INDEX(Translations!$C:$C,MATCH(Summary_Products!AT48,Translations!$B:$B,0)))</f>
        <v/>
      </c>
      <c r="AU64" s="615" t="str">
        <f>IF(Summary_Products!AU48="","",Summary_Products!AU48)</f>
        <v/>
      </c>
      <c r="AV64" s="473" t="str">
        <f>IF(Summary_Products!AV48="","",Summary_Products!AV48)</f>
        <v/>
      </c>
      <c r="AW64" s="474" t="str">
        <f>IF(Summary_Products!AW48="","",Summary_Products!AW48)</f>
        <v/>
      </c>
      <c r="AX64" s="477" t="str">
        <f>IF(Summary_Products!AX48="","",Summary_Products!AX48)</f>
        <v/>
      </c>
      <c r="AY64" s="474" t="str">
        <f>IF(Summary_Products!AY48="","",Summary_Products!AY48)</f>
        <v/>
      </c>
      <c r="AZ64" s="477" t="str">
        <f>IF(Summary_Products!AZ48="","",Summary_Products!AZ48)</f>
        <v/>
      </c>
      <c r="BA64" s="478" t="str">
        <f>IF(Summary_Products!BA48="","",Summary_Products!BA48)</f>
        <v/>
      </c>
      <c r="BD64" s="156"/>
      <c r="BE64" s="156"/>
      <c r="BF64" s="156"/>
      <c r="BG64" s="156"/>
    </row>
    <row r="65" spans="2:59" ht="12.75"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782" t="str">
        <f t="shared" si="0"/>
        <v/>
      </c>
      <c r="Q65" s="160" t="str">
        <f>IF(Summary_Products!P49="","",INDEX(Translations!$C:$C,MATCH(Summary_Products!P49,Translations!$B:$B,0)))</f>
        <v/>
      </c>
      <c r="R65" s="160" t="str">
        <f>IF(Summary_Products!Q49="","",Summary_Products!Q49)</f>
        <v/>
      </c>
      <c r="S65" s="615" t="str">
        <f>IF(Summary_Products!R49="","",Summary_Products!R49)</f>
        <v/>
      </c>
      <c r="T65" s="615" t="str">
        <f>IF(Summary_Products!S49="","",Summary_Products!S49)</f>
        <v/>
      </c>
      <c r="U65" s="615" t="str">
        <f>IF(Summary_Products!T49="","",Summary_Products!T49)</f>
        <v/>
      </c>
      <c r="V65" s="615" t="str">
        <f>IF(Summary_Products!U49="","",Summary_Products!U49)</f>
        <v/>
      </c>
      <c r="W65" s="615" t="str">
        <f>IF(Summary_Products!V49="","",Summary_Products!V49)</f>
        <v/>
      </c>
      <c r="X65" s="615" t="str">
        <f>IF(Summary_Products!W49="","",Summary_Products!W49)</f>
        <v/>
      </c>
      <c r="Y65" s="615" t="str">
        <f>IF(Summary_Products!X49="","",Summary_Products!X49)</f>
        <v/>
      </c>
      <c r="Z65" s="615" t="str">
        <f>IF(Summary_Products!Y49="","",Summary_Products!Y49)</f>
        <v/>
      </c>
      <c r="AA65" s="615" t="str">
        <f>IF(Summary_Products!Z49="","",Summary_Products!Z49)</f>
        <v/>
      </c>
      <c r="AB65" s="615" t="str">
        <f>IF(Summary_Products!AA49="","",Summary_Products!AA49)</f>
        <v/>
      </c>
      <c r="AC65" s="615" t="str">
        <f>IF(Summary_Products!AB49="","",Summary_Products!AB49)</f>
        <v/>
      </c>
      <c r="AD65" s="615" t="str">
        <f>IF(Summary_Products!AC49="","",Summary_Products!AC49)</f>
        <v/>
      </c>
      <c r="AE65" s="615" t="str">
        <f>IF(Summary_Products!AD49="","",Summary_Products!AD49)</f>
        <v/>
      </c>
      <c r="AF65" s="615" t="str">
        <f>IF(Summary_Products!AE49="","",Summary_Products!AE49)</f>
        <v/>
      </c>
      <c r="AG65" s="615" t="str">
        <f>IF(Summary_Products!AF49="","",Summary_Products!AF49)</f>
        <v/>
      </c>
      <c r="AH65" s="615" t="str">
        <f>IF(Summary_Products!AG49="","",Summary_Products!AG49)</f>
        <v/>
      </c>
      <c r="AI65" s="615" t="str">
        <f>IF(Summary_Products!AH49="","",Summary_Products!AH49)</f>
        <v/>
      </c>
      <c r="AJ65" s="615" t="str">
        <f>IF(Summary_Products!AI49="","",Summary_Products!AI49)</f>
        <v/>
      </c>
      <c r="AK65" s="615" t="str">
        <f>IF(Summary_Products!AJ49="","",Summary_Products!AJ49)</f>
        <v/>
      </c>
      <c r="AL65" s="615" t="str">
        <f>IF(Summary_Products!AK49="","",Summary_Products!AK49)</f>
        <v/>
      </c>
      <c r="AM65" s="421" t="str">
        <f>IF(Summary_Products!AL49="","",INDEX(Translations!$C:$C,MATCH(Summary_Products!AL49,Translations!$B:$B,0)))</f>
        <v/>
      </c>
      <c r="AN65" s="615" t="str">
        <f>IF(Summary_Products!AM49="","",Summary_Products!AM49)</f>
        <v/>
      </c>
      <c r="AO65" s="473" t="str">
        <f>IF(Summary_Products!AN49="","",Summary_Products!AN49)</f>
        <v/>
      </c>
      <c r="AP65" s="474" t="str">
        <f>IF(Summary_Products!AO49="","",Summary_Products!AO49)</f>
        <v/>
      </c>
      <c r="AQ65" s="160" t="str">
        <f>IF(Summary_Products!AP49="","",Summary_Products!AP49)</f>
        <v/>
      </c>
      <c r="AR65" s="477" t="str">
        <f>IF(Summary_Products!AR49="","",Summary_Products!AR49)</f>
        <v/>
      </c>
      <c r="AS65" s="474" t="str">
        <f>IF(Summary_Products!AS49="","",Summary_Products!AS49)</f>
        <v/>
      </c>
      <c r="AT65" s="421" t="str">
        <f>IF(Summary_Products!AT49="","",INDEX(Translations!$C:$C,MATCH(Summary_Products!AT49,Translations!$B:$B,0)))</f>
        <v/>
      </c>
      <c r="AU65" s="615" t="str">
        <f>IF(Summary_Products!AU49="","",Summary_Products!AU49)</f>
        <v/>
      </c>
      <c r="AV65" s="473" t="str">
        <f>IF(Summary_Products!AV49="","",Summary_Products!AV49)</f>
        <v/>
      </c>
      <c r="AW65" s="474" t="str">
        <f>IF(Summary_Products!AW49="","",Summary_Products!AW49)</f>
        <v/>
      </c>
      <c r="AX65" s="477" t="str">
        <f>IF(Summary_Products!AX49="","",Summary_Products!AX49)</f>
        <v/>
      </c>
      <c r="AY65" s="474" t="str">
        <f>IF(Summary_Products!AY49="","",Summary_Products!AY49)</f>
        <v/>
      </c>
      <c r="AZ65" s="477" t="str">
        <f>IF(Summary_Products!AZ49="","",Summary_Products!AZ49)</f>
        <v/>
      </c>
      <c r="BA65" s="478" t="str">
        <f>IF(Summary_Products!BA49="","",Summary_Products!BA49)</f>
        <v/>
      </c>
      <c r="BD65" s="156"/>
      <c r="BE65" s="156"/>
      <c r="BF65" s="156"/>
      <c r="BG65" s="156"/>
    </row>
    <row r="66" spans="2:59" ht="12.75"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782" t="str">
        <f t="shared" si="0"/>
        <v/>
      </c>
      <c r="Q66" s="160" t="str">
        <f>IF(Summary_Products!P50="","",INDEX(Translations!$C:$C,MATCH(Summary_Products!P50,Translations!$B:$B,0)))</f>
        <v/>
      </c>
      <c r="R66" s="160" t="str">
        <f>IF(Summary_Products!Q50="","",Summary_Products!Q50)</f>
        <v/>
      </c>
      <c r="S66" s="615" t="str">
        <f>IF(Summary_Products!R50="","",Summary_Products!R50)</f>
        <v/>
      </c>
      <c r="T66" s="615" t="str">
        <f>IF(Summary_Products!S50="","",Summary_Products!S50)</f>
        <v/>
      </c>
      <c r="U66" s="615" t="str">
        <f>IF(Summary_Products!T50="","",Summary_Products!T50)</f>
        <v/>
      </c>
      <c r="V66" s="615" t="str">
        <f>IF(Summary_Products!U50="","",Summary_Products!U50)</f>
        <v/>
      </c>
      <c r="W66" s="615" t="str">
        <f>IF(Summary_Products!V50="","",Summary_Products!V50)</f>
        <v/>
      </c>
      <c r="X66" s="615" t="str">
        <f>IF(Summary_Products!W50="","",Summary_Products!W50)</f>
        <v/>
      </c>
      <c r="Y66" s="615" t="str">
        <f>IF(Summary_Products!X50="","",Summary_Products!X50)</f>
        <v/>
      </c>
      <c r="Z66" s="615" t="str">
        <f>IF(Summary_Products!Y50="","",Summary_Products!Y50)</f>
        <v/>
      </c>
      <c r="AA66" s="615" t="str">
        <f>IF(Summary_Products!Z50="","",Summary_Products!Z50)</f>
        <v/>
      </c>
      <c r="AB66" s="615" t="str">
        <f>IF(Summary_Products!AA50="","",Summary_Products!AA50)</f>
        <v/>
      </c>
      <c r="AC66" s="615" t="str">
        <f>IF(Summary_Products!AB50="","",Summary_Products!AB50)</f>
        <v/>
      </c>
      <c r="AD66" s="615" t="str">
        <f>IF(Summary_Products!AC50="","",Summary_Products!AC50)</f>
        <v/>
      </c>
      <c r="AE66" s="615" t="str">
        <f>IF(Summary_Products!AD50="","",Summary_Products!AD50)</f>
        <v/>
      </c>
      <c r="AF66" s="615" t="str">
        <f>IF(Summary_Products!AE50="","",Summary_Products!AE50)</f>
        <v/>
      </c>
      <c r="AG66" s="615" t="str">
        <f>IF(Summary_Products!AF50="","",Summary_Products!AF50)</f>
        <v/>
      </c>
      <c r="AH66" s="615" t="str">
        <f>IF(Summary_Products!AG50="","",Summary_Products!AG50)</f>
        <v/>
      </c>
      <c r="AI66" s="615" t="str">
        <f>IF(Summary_Products!AH50="","",Summary_Products!AH50)</f>
        <v/>
      </c>
      <c r="AJ66" s="615" t="str">
        <f>IF(Summary_Products!AI50="","",Summary_Products!AI50)</f>
        <v/>
      </c>
      <c r="AK66" s="615" t="str">
        <f>IF(Summary_Products!AJ50="","",Summary_Products!AJ50)</f>
        <v/>
      </c>
      <c r="AL66" s="615" t="str">
        <f>IF(Summary_Products!AK50="","",Summary_Products!AK50)</f>
        <v/>
      </c>
      <c r="AM66" s="421" t="str">
        <f>IF(Summary_Products!AL50="","",INDEX(Translations!$C:$C,MATCH(Summary_Products!AL50,Translations!$B:$B,0)))</f>
        <v/>
      </c>
      <c r="AN66" s="615" t="str">
        <f>IF(Summary_Products!AM50="","",Summary_Products!AM50)</f>
        <v/>
      </c>
      <c r="AO66" s="473" t="str">
        <f>IF(Summary_Products!AN50="","",Summary_Products!AN50)</f>
        <v/>
      </c>
      <c r="AP66" s="474" t="str">
        <f>IF(Summary_Products!AO50="","",Summary_Products!AO50)</f>
        <v/>
      </c>
      <c r="AQ66" s="160" t="str">
        <f>IF(Summary_Products!AP50="","",Summary_Products!AP50)</f>
        <v/>
      </c>
      <c r="AR66" s="477" t="str">
        <f>IF(Summary_Products!AR50="","",Summary_Products!AR50)</f>
        <v/>
      </c>
      <c r="AS66" s="474" t="str">
        <f>IF(Summary_Products!AS50="","",Summary_Products!AS50)</f>
        <v/>
      </c>
      <c r="AT66" s="421" t="str">
        <f>IF(Summary_Products!AT50="","",INDEX(Translations!$C:$C,MATCH(Summary_Products!AT50,Translations!$B:$B,0)))</f>
        <v/>
      </c>
      <c r="AU66" s="615" t="str">
        <f>IF(Summary_Products!AU50="","",Summary_Products!AU50)</f>
        <v/>
      </c>
      <c r="AV66" s="473" t="str">
        <f>IF(Summary_Products!AV50="","",Summary_Products!AV50)</f>
        <v/>
      </c>
      <c r="AW66" s="474" t="str">
        <f>IF(Summary_Products!AW50="","",Summary_Products!AW50)</f>
        <v/>
      </c>
      <c r="AX66" s="477" t="str">
        <f>IF(Summary_Products!AX50="","",Summary_Products!AX50)</f>
        <v/>
      </c>
      <c r="AY66" s="474" t="str">
        <f>IF(Summary_Products!AY50="","",Summary_Products!AY50)</f>
        <v/>
      </c>
      <c r="AZ66" s="477" t="str">
        <f>IF(Summary_Products!AZ50="","",Summary_Products!AZ50)</f>
        <v/>
      </c>
      <c r="BA66" s="478" t="str">
        <f>IF(Summary_Products!BA50="","",Summary_Products!BA50)</f>
        <v/>
      </c>
      <c r="BD66" s="156"/>
      <c r="BE66" s="156"/>
      <c r="BF66" s="156"/>
      <c r="BG66" s="156"/>
    </row>
    <row r="67" spans="2:59" ht="12.75"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782" t="str">
        <f t="shared" si="0"/>
        <v/>
      </c>
      <c r="Q67" s="160" t="str">
        <f>IF(Summary_Products!P51="","",INDEX(Translations!$C:$C,MATCH(Summary_Products!P51,Translations!$B:$B,0)))</f>
        <v/>
      </c>
      <c r="R67" s="160" t="str">
        <f>IF(Summary_Products!Q51="","",Summary_Products!Q51)</f>
        <v/>
      </c>
      <c r="S67" s="615" t="str">
        <f>IF(Summary_Products!R51="","",Summary_Products!R51)</f>
        <v/>
      </c>
      <c r="T67" s="615" t="str">
        <f>IF(Summary_Products!S51="","",Summary_Products!S51)</f>
        <v/>
      </c>
      <c r="U67" s="615" t="str">
        <f>IF(Summary_Products!T51="","",Summary_Products!T51)</f>
        <v/>
      </c>
      <c r="V67" s="615" t="str">
        <f>IF(Summary_Products!U51="","",Summary_Products!U51)</f>
        <v/>
      </c>
      <c r="W67" s="615" t="str">
        <f>IF(Summary_Products!V51="","",Summary_Products!V51)</f>
        <v/>
      </c>
      <c r="X67" s="615" t="str">
        <f>IF(Summary_Products!W51="","",Summary_Products!W51)</f>
        <v/>
      </c>
      <c r="Y67" s="615" t="str">
        <f>IF(Summary_Products!X51="","",Summary_Products!X51)</f>
        <v/>
      </c>
      <c r="Z67" s="615" t="str">
        <f>IF(Summary_Products!Y51="","",Summary_Products!Y51)</f>
        <v/>
      </c>
      <c r="AA67" s="615" t="str">
        <f>IF(Summary_Products!Z51="","",Summary_Products!Z51)</f>
        <v/>
      </c>
      <c r="AB67" s="615" t="str">
        <f>IF(Summary_Products!AA51="","",Summary_Products!AA51)</f>
        <v/>
      </c>
      <c r="AC67" s="615" t="str">
        <f>IF(Summary_Products!AB51="","",Summary_Products!AB51)</f>
        <v/>
      </c>
      <c r="AD67" s="615" t="str">
        <f>IF(Summary_Products!AC51="","",Summary_Products!AC51)</f>
        <v/>
      </c>
      <c r="AE67" s="615" t="str">
        <f>IF(Summary_Products!AD51="","",Summary_Products!AD51)</f>
        <v/>
      </c>
      <c r="AF67" s="615" t="str">
        <f>IF(Summary_Products!AE51="","",Summary_Products!AE51)</f>
        <v/>
      </c>
      <c r="AG67" s="615" t="str">
        <f>IF(Summary_Products!AF51="","",Summary_Products!AF51)</f>
        <v/>
      </c>
      <c r="AH67" s="615" t="str">
        <f>IF(Summary_Products!AG51="","",Summary_Products!AG51)</f>
        <v/>
      </c>
      <c r="AI67" s="615" t="str">
        <f>IF(Summary_Products!AH51="","",Summary_Products!AH51)</f>
        <v/>
      </c>
      <c r="AJ67" s="615" t="str">
        <f>IF(Summary_Products!AI51="","",Summary_Products!AI51)</f>
        <v/>
      </c>
      <c r="AK67" s="615" t="str">
        <f>IF(Summary_Products!AJ51="","",Summary_Products!AJ51)</f>
        <v/>
      </c>
      <c r="AL67" s="615" t="str">
        <f>IF(Summary_Products!AK51="","",Summary_Products!AK51)</f>
        <v/>
      </c>
      <c r="AM67" s="421" t="str">
        <f>IF(Summary_Products!AL51="","",INDEX(Translations!$C:$C,MATCH(Summary_Products!AL51,Translations!$B:$B,0)))</f>
        <v/>
      </c>
      <c r="AN67" s="615" t="str">
        <f>IF(Summary_Products!AM51="","",Summary_Products!AM51)</f>
        <v/>
      </c>
      <c r="AO67" s="473" t="str">
        <f>IF(Summary_Products!AN51="","",Summary_Products!AN51)</f>
        <v/>
      </c>
      <c r="AP67" s="474" t="str">
        <f>IF(Summary_Products!AO51="","",Summary_Products!AO51)</f>
        <v/>
      </c>
      <c r="AQ67" s="160" t="str">
        <f>IF(Summary_Products!AP51="","",Summary_Products!AP51)</f>
        <v/>
      </c>
      <c r="AR67" s="477" t="str">
        <f>IF(Summary_Products!AR51="","",Summary_Products!AR51)</f>
        <v/>
      </c>
      <c r="AS67" s="474" t="str">
        <f>IF(Summary_Products!AS51="","",Summary_Products!AS51)</f>
        <v/>
      </c>
      <c r="AT67" s="421" t="str">
        <f>IF(Summary_Products!AT51="","",INDEX(Translations!$C:$C,MATCH(Summary_Products!AT51,Translations!$B:$B,0)))</f>
        <v/>
      </c>
      <c r="AU67" s="615" t="str">
        <f>IF(Summary_Products!AU51="","",Summary_Products!AU51)</f>
        <v/>
      </c>
      <c r="AV67" s="473" t="str">
        <f>IF(Summary_Products!AV51="","",Summary_Products!AV51)</f>
        <v/>
      </c>
      <c r="AW67" s="474" t="str">
        <f>IF(Summary_Products!AW51="","",Summary_Products!AW51)</f>
        <v/>
      </c>
      <c r="AX67" s="477" t="str">
        <f>IF(Summary_Products!AX51="","",Summary_Products!AX51)</f>
        <v/>
      </c>
      <c r="AY67" s="474" t="str">
        <f>IF(Summary_Products!AY51="","",Summary_Products!AY51)</f>
        <v/>
      </c>
      <c r="AZ67" s="477" t="str">
        <f>IF(Summary_Products!AZ51="","",Summary_Products!AZ51)</f>
        <v/>
      </c>
      <c r="BA67" s="478" t="str">
        <f>IF(Summary_Products!BA51="","",Summary_Products!BA51)</f>
        <v/>
      </c>
      <c r="BD67" s="156"/>
      <c r="BE67" s="156"/>
      <c r="BF67" s="156"/>
      <c r="BG67" s="156"/>
    </row>
    <row r="68" spans="2:59" ht="12.75"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782" t="str">
        <f t="shared" si="0"/>
        <v/>
      </c>
      <c r="Q68" s="160" t="str">
        <f>IF(Summary_Products!P52="","",INDEX(Translations!$C:$C,MATCH(Summary_Products!P52,Translations!$B:$B,0)))</f>
        <v/>
      </c>
      <c r="R68" s="160" t="str">
        <f>IF(Summary_Products!Q52="","",Summary_Products!Q52)</f>
        <v/>
      </c>
      <c r="S68" s="615" t="str">
        <f>IF(Summary_Products!R52="","",Summary_Products!R52)</f>
        <v/>
      </c>
      <c r="T68" s="615" t="str">
        <f>IF(Summary_Products!S52="","",Summary_Products!S52)</f>
        <v/>
      </c>
      <c r="U68" s="615" t="str">
        <f>IF(Summary_Products!T52="","",Summary_Products!T52)</f>
        <v/>
      </c>
      <c r="V68" s="615" t="str">
        <f>IF(Summary_Products!U52="","",Summary_Products!U52)</f>
        <v/>
      </c>
      <c r="W68" s="615" t="str">
        <f>IF(Summary_Products!V52="","",Summary_Products!V52)</f>
        <v/>
      </c>
      <c r="X68" s="615" t="str">
        <f>IF(Summary_Products!W52="","",Summary_Products!W52)</f>
        <v/>
      </c>
      <c r="Y68" s="615" t="str">
        <f>IF(Summary_Products!X52="","",Summary_Products!X52)</f>
        <v/>
      </c>
      <c r="Z68" s="615" t="str">
        <f>IF(Summary_Products!Y52="","",Summary_Products!Y52)</f>
        <v/>
      </c>
      <c r="AA68" s="615" t="str">
        <f>IF(Summary_Products!Z52="","",Summary_Products!Z52)</f>
        <v/>
      </c>
      <c r="AB68" s="615" t="str">
        <f>IF(Summary_Products!AA52="","",Summary_Products!AA52)</f>
        <v/>
      </c>
      <c r="AC68" s="615" t="str">
        <f>IF(Summary_Products!AB52="","",Summary_Products!AB52)</f>
        <v/>
      </c>
      <c r="AD68" s="615" t="str">
        <f>IF(Summary_Products!AC52="","",Summary_Products!AC52)</f>
        <v/>
      </c>
      <c r="AE68" s="615" t="str">
        <f>IF(Summary_Products!AD52="","",Summary_Products!AD52)</f>
        <v/>
      </c>
      <c r="AF68" s="615" t="str">
        <f>IF(Summary_Products!AE52="","",Summary_Products!AE52)</f>
        <v/>
      </c>
      <c r="AG68" s="615" t="str">
        <f>IF(Summary_Products!AF52="","",Summary_Products!AF52)</f>
        <v/>
      </c>
      <c r="AH68" s="615" t="str">
        <f>IF(Summary_Products!AG52="","",Summary_Products!AG52)</f>
        <v/>
      </c>
      <c r="AI68" s="615" t="str">
        <f>IF(Summary_Products!AH52="","",Summary_Products!AH52)</f>
        <v/>
      </c>
      <c r="AJ68" s="615" t="str">
        <f>IF(Summary_Products!AI52="","",Summary_Products!AI52)</f>
        <v/>
      </c>
      <c r="AK68" s="615" t="str">
        <f>IF(Summary_Products!AJ52="","",Summary_Products!AJ52)</f>
        <v/>
      </c>
      <c r="AL68" s="615" t="str">
        <f>IF(Summary_Products!AK52="","",Summary_Products!AK52)</f>
        <v/>
      </c>
      <c r="AM68" s="421" t="str">
        <f>IF(Summary_Products!AL52="","",INDEX(Translations!$C:$C,MATCH(Summary_Products!AL52,Translations!$B:$B,0)))</f>
        <v/>
      </c>
      <c r="AN68" s="615" t="str">
        <f>IF(Summary_Products!AM52="","",Summary_Products!AM52)</f>
        <v/>
      </c>
      <c r="AO68" s="473" t="str">
        <f>IF(Summary_Products!AN52="","",Summary_Products!AN52)</f>
        <v/>
      </c>
      <c r="AP68" s="474" t="str">
        <f>IF(Summary_Products!AO52="","",Summary_Products!AO52)</f>
        <v/>
      </c>
      <c r="AQ68" s="160" t="str">
        <f>IF(Summary_Products!AP52="","",Summary_Products!AP52)</f>
        <v/>
      </c>
      <c r="AR68" s="477" t="str">
        <f>IF(Summary_Products!AR52="","",Summary_Products!AR52)</f>
        <v/>
      </c>
      <c r="AS68" s="474" t="str">
        <f>IF(Summary_Products!AS52="","",Summary_Products!AS52)</f>
        <v/>
      </c>
      <c r="AT68" s="421" t="str">
        <f>IF(Summary_Products!AT52="","",INDEX(Translations!$C:$C,MATCH(Summary_Products!AT52,Translations!$B:$B,0)))</f>
        <v/>
      </c>
      <c r="AU68" s="615" t="str">
        <f>IF(Summary_Products!AU52="","",Summary_Products!AU52)</f>
        <v/>
      </c>
      <c r="AV68" s="473" t="str">
        <f>IF(Summary_Products!AV52="","",Summary_Products!AV52)</f>
        <v/>
      </c>
      <c r="AW68" s="474" t="str">
        <f>IF(Summary_Products!AW52="","",Summary_Products!AW52)</f>
        <v/>
      </c>
      <c r="AX68" s="477" t="str">
        <f>IF(Summary_Products!AX52="","",Summary_Products!AX52)</f>
        <v/>
      </c>
      <c r="AY68" s="474" t="str">
        <f>IF(Summary_Products!AY52="","",Summary_Products!AY52)</f>
        <v/>
      </c>
      <c r="AZ68" s="477" t="str">
        <f>IF(Summary_Products!AZ52="","",Summary_Products!AZ52)</f>
        <v/>
      </c>
      <c r="BA68" s="478" t="str">
        <f>IF(Summary_Products!BA52="","",Summary_Products!BA52)</f>
        <v/>
      </c>
      <c r="BD68" s="156"/>
      <c r="BE68" s="156"/>
      <c r="BF68" s="156"/>
      <c r="BG68" s="156"/>
    </row>
    <row r="69" spans="2:59" ht="12.75"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782" t="str">
        <f t="shared" si="0"/>
        <v/>
      </c>
      <c r="Q69" s="160" t="str">
        <f>IF(Summary_Products!P53="","",INDEX(Translations!$C:$C,MATCH(Summary_Products!P53,Translations!$B:$B,0)))</f>
        <v/>
      </c>
      <c r="R69" s="160" t="str">
        <f>IF(Summary_Products!Q53="","",Summary_Products!Q53)</f>
        <v/>
      </c>
      <c r="S69" s="615" t="str">
        <f>IF(Summary_Products!R53="","",Summary_Products!R53)</f>
        <v/>
      </c>
      <c r="T69" s="615" t="str">
        <f>IF(Summary_Products!S53="","",Summary_Products!S53)</f>
        <v/>
      </c>
      <c r="U69" s="615" t="str">
        <f>IF(Summary_Products!T53="","",Summary_Products!T53)</f>
        <v/>
      </c>
      <c r="V69" s="615" t="str">
        <f>IF(Summary_Products!U53="","",Summary_Products!U53)</f>
        <v/>
      </c>
      <c r="W69" s="615" t="str">
        <f>IF(Summary_Products!V53="","",Summary_Products!V53)</f>
        <v/>
      </c>
      <c r="X69" s="615" t="str">
        <f>IF(Summary_Products!W53="","",Summary_Products!W53)</f>
        <v/>
      </c>
      <c r="Y69" s="615" t="str">
        <f>IF(Summary_Products!X53="","",Summary_Products!X53)</f>
        <v/>
      </c>
      <c r="Z69" s="615" t="str">
        <f>IF(Summary_Products!Y53="","",Summary_Products!Y53)</f>
        <v/>
      </c>
      <c r="AA69" s="615" t="str">
        <f>IF(Summary_Products!Z53="","",Summary_Products!Z53)</f>
        <v/>
      </c>
      <c r="AB69" s="615" t="str">
        <f>IF(Summary_Products!AA53="","",Summary_Products!AA53)</f>
        <v/>
      </c>
      <c r="AC69" s="615" t="str">
        <f>IF(Summary_Products!AB53="","",Summary_Products!AB53)</f>
        <v/>
      </c>
      <c r="AD69" s="615" t="str">
        <f>IF(Summary_Products!AC53="","",Summary_Products!AC53)</f>
        <v/>
      </c>
      <c r="AE69" s="615" t="str">
        <f>IF(Summary_Products!AD53="","",Summary_Products!AD53)</f>
        <v/>
      </c>
      <c r="AF69" s="615" t="str">
        <f>IF(Summary_Products!AE53="","",Summary_Products!AE53)</f>
        <v/>
      </c>
      <c r="AG69" s="615" t="str">
        <f>IF(Summary_Products!AF53="","",Summary_Products!AF53)</f>
        <v/>
      </c>
      <c r="AH69" s="615" t="str">
        <f>IF(Summary_Products!AG53="","",Summary_Products!AG53)</f>
        <v/>
      </c>
      <c r="AI69" s="615" t="str">
        <f>IF(Summary_Products!AH53="","",Summary_Products!AH53)</f>
        <v/>
      </c>
      <c r="AJ69" s="615" t="str">
        <f>IF(Summary_Products!AI53="","",Summary_Products!AI53)</f>
        <v/>
      </c>
      <c r="AK69" s="615" t="str">
        <f>IF(Summary_Products!AJ53="","",Summary_Products!AJ53)</f>
        <v/>
      </c>
      <c r="AL69" s="615" t="str">
        <f>IF(Summary_Products!AK53="","",Summary_Products!AK53)</f>
        <v/>
      </c>
      <c r="AM69" s="421" t="str">
        <f>IF(Summary_Products!AL53="","",INDEX(Translations!$C:$C,MATCH(Summary_Products!AL53,Translations!$B:$B,0)))</f>
        <v/>
      </c>
      <c r="AN69" s="615" t="str">
        <f>IF(Summary_Products!AM53="","",Summary_Products!AM53)</f>
        <v/>
      </c>
      <c r="AO69" s="473" t="str">
        <f>IF(Summary_Products!AN53="","",Summary_Products!AN53)</f>
        <v/>
      </c>
      <c r="AP69" s="474" t="str">
        <f>IF(Summary_Products!AO53="","",Summary_Products!AO53)</f>
        <v/>
      </c>
      <c r="AQ69" s="160" t="str">
        <f>IF(Summary_Products!AP53="","",Summary_Products!AP53)</f>
        <v/>
      </c>
      <c r="AR69" s="477" t="str">
        <f>IF(Summary_Products!AR53="","",Summary_Products!AR53)</f>
        <v/>
      </c>
      <c r="AS69" s="474" t="str">
        <f>IF(Summary_Products!AS53="","",Summary_Products!AS53)</f>
        <v/>
      </c>
      <c r="AT69" s="421" t="str">
        <f>IF(Summary_Products!AT53="","",INDEX(Translations!$C:$C,MATCH(Summary_Products!AT53,Translations!$B:$B,0)))</f>
        <v/>
      </c>
      <c r="AU69" s="615" t="str">
        <f>IF(Summary_Products!AU53="","",Summary_Products!AU53)</f>
        <v/>
      </c>
      <c r="AV69" s="473" t="str">
        <f>IF(Summary_Products!AV53="","",Summary_Products!AV53)</f>
        <v/>
      </c>
      <c r="AW69" s="474" t="str">
        <f>IF(Summary_Products!AW53="","",Summary_Products!AW53)</f>
        <v/>
      </c>
      <c r="AX69" s="477" t="str">
        <f>IF(Summary_Products!AX53="","",Summary_Products!AX53)</f>
        <v/>
      </c>
      <c r="AY69" s="474" t="str">
        <f>IF(Summary_Products!AY53="","",Summary_Products!AY53)</f>
        <v/>
      </c>
      <c r="AZ69" s="477" t="str">
        <f>IF(Summary_Products!AZ53="","",Summary_Products!AZ53)</f>
        <v/>
      </c>
      <c r="BA69" s="478" t="str">
        <f>IF(Summary_Products!BA53="","",Summary_Products!BA53)</f>
        <v/>
      </c>
      <c r="BD69" s="156"/>
      <c r="BE69" s="156"/>
      <c r="BF69" s="156"/>
      <c r="BG69" s="156"/>
    </row>
    <row r="70" spans="2:59" ht="12.75"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782" t="str">
        <f t="shared" si="0"/>
        <v/>
      </c>
      <c r="Q70" s="160" t="str">
        <f>IF(Summary_Products!P54="","",INDEX(Translations!$C:$C,MATCH(Summary_Products!P54,Translations!$B:$B,0)))</f>
        <v/>
      </c>
      <c r="R70" s="160" t="str">
        <f>IF(Summary_Products!Q54="","",Summary_Products!Q54)</f>
        <v/>
      </c>
      <c r="S70" s="615" t="str">
        <f>IF(Summary_Products!R54="","",Summary_Products!R54)</f>
        <v/>
      </c>
      <c r="T70" s="615" t="str">
        <f>IF(Summary_Products!S54="","",Summary_Products!S54)</f>
        <v/>
      </c>
      <c r="U70" s="615" t="str">
        <f>IF(Summary_Products!T54="","",Summary_Products!T54)</f>
        <v/>
      </c>
      <c r="V70" s="615" t="str">
        <f>IF(Summary_Products!U54="","",Summary_Products!U54)</f>
        <v/>
      </c>
      <c r="W70" s="615" t="str">
        <f>IF(Summary_Products!V54="","",Summary_Products!V54)</f>
        <v/>
      </c>
      <c r="X70" s="615" t="str">
        <f>IF(Summary_Products!W54="","",Summary_Products!W54)</f>
        <v/>
      </c>
      <c r="Y70" s="615" t="str">
        <f>IF(Summary_Products!X54="","",Summary_Products!X54)</f>
        <v/>
      </c>
      <c r="Z70" s="615" t="str">
        <f>IF(Summary_Products!Y54="","",Summary_Products!Y54)</f>
        <v/>
      </c>
      <c r="AA70" s="615" t="str">
        <f>IF(Summary_Products!Z54="","",Summary_Products!Z54)</f>
        <v/>
      </c>
      <c r="AB70" s="615" t="str">
        <f>IF(Summary_Products!AA54="","",Summary_Products!AA54)</f>
        <v/>
      </c>
      <c r="AC70" s="615" t="str">
        <f>IF(Summary_Products!AB54="","",Summary_Products!AB54)</f>
        <v/>
      </c>
      <c r="AD70" s="615" t="str">
        <f>IF(Summary_Products!AC54="","",Summary_Products!AC54)</f>
        <v/>
      </c>
      <c r="AE70" s="615" t="str">
        <f>IF(Summary_Products!AD54="","",Summary_Products!AD54)</f>
        <v/>
      </c>
      <c r="AF70" s="615" t="str">
        <f>IF(Summary_Products!AE54="","",Summary_Products!AE54)</f>
        <v/>
      </c>
      <c r="AG70" s="615" t="str">
        <f>IF(Summary_Products!AF54="","",Summary_Products!AF54)</f>
        <v/>
      </c>
      <c r="AH70" s="615" t="str">
        <f>IF(Summary_Products!AG54="","",Summary_Products!AG54)</f>
        <v/>
      </c>
      <c r="AI70" s="615" t="str">
        <f>IF(Summary_Products!AH54="","",Summary_Products!AH54)</f>
        <v/>
      </c>
      <c r="AJ70" s="615" t="str">
        <f>IF(Summary_Products!AI54="","",Summary_Products!AI54)</f>
        <v/>
      </c>
      <c r="AK70" s="615" t="str">
        <f>IF(Summary_Products!AJ54="","",Summary_Products!AJ54)</f>
        <v/>
      </c>
      <c r="AL70" s="615" t="str">
        <f>IF(Summary_Products!AK54="","",Summary_Products!AK54)</f>
        <v/>
      </c>
      <c r="AM70" s="421" t="str">
        <f>IF(Summary_Products!AL54="","",INDEX(Translations!$C:$C,MATCH(Summary_Products!AL54,Translations!$B:$B,0)))</f>
        <v/>
      </c>
      <c r="AN70" s="615" t="str">
        <f>IF(Summary_Products!AM54="","",Summary_Products!AM54)</f>
        <v/>
      </c>
      <c r="AO70" s="473" t="str">
        <f>IF(Summary_Products!AN54="","",Summary_Products!AN54)</f>
        <v/>
      </c>
      <c r="AP70" s="474" t="str">
        <f>IF(Summary_Products!AO54="","",Summary_Products!AO54)</f>
        <v/>
      </c>
      <c r="AQ70" s="160" t="str">
        <f>IF(Summary_Products!AP54="","",Summary_Products!AP54)</f>
        <v/>
      </c>
      <c r="AR70" s="477" t="str">
        <f>IF(Summary_Products!AR54="","",Summary_Products!AR54)</f>
        <v/>
      </c>
      <c r="AS70" s="474" t="str">
        <f>IF(Summary_Products!AS54="","",Summary_Products!AS54)</f>
        <v/>
      </c>
      <c r="AT70" s="421" t="str">
        <f>IF(Summary_Products!AT54="","",INDEX(Translations!$C:$C,MATCH(Summary_Products!AT54,Translations!$B:$B,0)))</f>
        <v/>
      </c>
      <c r="AU70" s="615" t="str">
        <f>IF(Summary_Products!AU54="","",Summary_Products!AU54)</f>
        <v/>
      </c>
      <c r="AV70" s="473" t="str">
        <f>IF(Summary_Products!AV54="","",Summary_Products!AV54)</f>
        <v/>
      </c>
      <c r="AW70" s="474" t="str">
        <f>IF(Summary_Products!AW54="","",Summary_Products!AW54)</f>
        <v/>
      </c>
      <c r="AX70" s="477" t="str">
        <f>IF(Summary_Products!AX54="","",Summary_Products!AX54)</f>
        <v/>
      </c>
      <c r="AY70" s="474" t="str">
        <f>IF(Summary_Products!AY54="","",Summary_Products!AY54)</f>
        <v/>
      </c>
      <c r="AZ70" s="477" t="str">
        <f>IF(Summary_Products!AZ54="","",Summary_Products!AZ54)</f>
        <v/>
      </c>
      <c r="BA70" s="478" t="str">
        <f>IF(Summary_Products!BA54="","",Summary_Products!BA54)</f>
        <v/>
      </c>
      <c r="BD70" s="156"/>
      <c r="BE70" s="156"/>
      <c r="BF70" s="156"/>
      <c r="BG70" s="156"/>
    </row>
    <row r="71" spans="2:59" ht="12.75"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782" t="str">
        <f t="shared" si="0"/>
        <v/>
      </c>
      <c r="Q71" s="160" t="str">
        <f>IF(Summary_Products!P55="","",INDEX(Translations!$C:$C,MATCH(Summary_Products!P55,Translations!$B:$B,0)))</f>
        <v/>
      </c>
      <c r="R71" s="160" t="str">
        <f>IF(Summary_Products!Q55="","",Summary_Products!Q55)</f>
        <v/>
      </c>
      <c r="S71" s="615" t="str">
        <f>IF(Summary_Products!R55="","",Summary_Products!R55)</f>
        <v/>
      </c>
      <c r="T71" s="615" t="str">
        <f>IF(Summary_Products!S55="","",Summary_Products!S55)</f>
        <v/>
      </c>
      <c r="U71" s="615" t="str">
        <f>IF(Summary_Products!T55="","",Summary_Products!T55)</f>
        <v/>
      </c>
      <c r="V71" s="615" t="str">
        <f>IF(Summary_Products!U55="","",Summary_Products!U55)</f>
        <v/>
      </c>
      <c r="W71" s="615" t="str">
        <f>IF(Summary_Products!V55="","",Summary_Products!V55)</f>
        <v/>
      </c>
      <c r="X71" s="615" t="str">
        <f>IF(Summary_Products!W55="","",Summary_Products!W55)</f>
        <v/>
      </c>
      <c r="Y71" s="615" t="str">
        <f>IF(Summary_Products!X55="","",Summary_Products!X55)</f>
        <v/>
      </c>
      <c r="Z71" s="615" t="str">
        <f>IF(Summary_Products!Y55="","",Summary_Products!Y55)</f>
        <v/>
      </c>
      <c r="AA71" s="615" t="str">
        <f>IF(Summary_Products!Z55="","",Summary_Products!Z55)</f>
        <v/>
      </c>
      <c r="AB71" s="615" t="str">
        <f>IF(Summary_Products!AA55="","",Summary_Products!AA55)</f>
        <v/>
      </c>
      <c r="AC71" s="615" t="str">
        <f>IF(Summary_Products!AB55="","",Summary_Products!AB55)</f>
        <v/>
      </c>
      <c r="AD71" s="615" t="str">
        <f>IF(Summary_Products!AC55="","",Summary_Products!AC55)</f>
        <v/>
      </c>
      <c r="AE71" s="615" t="str">
        <f>IF(Summary_Products!AD55="","",Summary_Products!AD55)</f>
        <v/>
      </c>
      <c r="AF71" s="615" t="str">
        <f>IF(Summary_Products!AE55="","",Summary_Products!AE55)</f>
        <v/>
      </c>
      <c r="AG71" s="615" t="str">
        <f>IF(Summary_Products!AF55="","",Summary_Products!AF55)</f>
        <v/>
      </c>
      <c r="AH71" s="615" t="str">
        <f>IF(Summary_Products!AG55="","",Summary_Products!AG55)</f>
        <v/>
      </c>
      <c r="AI71" s="615" t="str">
        <f>IF(Summary_Products!AH55="","",Summary_Products!AH55)</f>
        <v/>
      </c>
      <c r="AJ71" s="615" t="str">
        <f>IF(Summary_Products!AI55="","",Summary_Products!AI55)</f>
        <v/>
      </c>
      <c r="AK71" s="615" t="str">
        <f>IF(Summary_Products!AJ55="","",Summary_Products!AJ55)</f>
        <v/>
      </c>
      <c r="AL71" s="615" t="str">
        <f>IF(Summary_Products!AK55="","",Summary_Products!AK55)</f>
        <v/>
      </c>
      <c r="AM71" s="421" t="str">
        <f>IF(Summary_Products!AL55="","",INDEX(Translations!$C:$C,MATCH(Summary_Products!AL55,Translations!$B:$B,0)))</f>
        <v/>
      </c>
      <c r="AN71" s="615" t="str">
        <f>IF(Summary_Products!AM55="","",Summary_Products!AM55)</f>
        <v/>
      </c>
      <c r="AO71" s="473" t="str">
        <f>IF(Summary_Products!AN55="","",Summary_Products!AN55)</f>
        <v/>
      </c>
      <c r="AP71" s="474" t="str">
        <f>IF(Summary_Products!AO55="","",Summary_Products!AO55)</f>
        <v/>
      </c>
      <c r="AQ71" s="160" t="str">
        <f>IF(Summary_Products!AP55="","",Summary_Products!AP55)</f>
        <v/>
      </c>
      <c r="AR71" s="477" t="str">
        <f>IF(Summary_Products!AR55="","",Summary_Products!AR55)</f>
        <v/>
      </c>
      <c r="AS71" s="474" t="str">
        <f>IF(Summary_Products!AS55="","",Summary_Products!AS55)</f>
        <v/>
      </c>
      <c r="AT71" s="421" t="str">
        <f>IF(Summary_Products!AT55="","",INDEX(Translations!$C:$C,MATCH(Summary_Products!AT55,Translations!$B:$B,0)))</f>
        <v/>
      </c>
      <c r="AU71" s="615" t="str">
        <f>IF(Summary_Products!AU55="","",Summary_Products!AU55)</f>
        <v/>
      </c>
      <c r="AV71" s="473" t="str">
        <f>IF(Summary_Products!AV55="","",Summary_Products!AV55)</f>
        <v/>
      </c>
      <c r="AW71" s="474" t="str">
        <f>IF(Summary_Products!AW55="","",Summary_Products!AW55)</f>
        <v/>
      </c>
      <c r="AX71" s="477" t="str">
        <f>IF(Summary_Products!AX55="","",Summary_Products!AX55)</f>
        <v/>
      </c>
      <c r="AY71" s="474" t="str">
        <f>IF(Summary_Products!AY55="","",Summary_Products!AY55)</f>
        <v/>
      </c>
      <c r="AZ71" s="477" t="str">
        <f>IF(Summary_Products!AZ55="","",Summary_Products!AZ55)</f>
        <v/>
      </c>
      <c r="BA71" s="478" t="str">
        <f>IF(Summary_Products!BA55="","",Summary_Products!BA55)</f>
        <v/>
      </c>
      <c r="BD71" s="156"/>
      <c r="BE71" s="156"/>
      <c r="BF71" s="156"/>
      <c r="BG71" s="156"/>
    </row>
    <row r="72" spans="2:59" ht="12.75"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782" t="str">
        <f t="shared" si="0"/>
        <v/>
      </c>
      <c r="Q72" s="160" t="str">
        <f>IF(Summary_Products!P56="","",INDEX(Translations!$C:$C,MATCH(Summary_Products!P56,Translations!$B:$B,0)))</f>
        <v/>
      </c>
      <c r="R72" s="160" t="str">
        <f>IF(Summary_Products!Q56="","",Summary_Products!Q56)</f>
        <v/>
      </c>
      <c r="S72" s="615" t="str">
        <f>IF(Summary_Products!R56="","",Summary_Products!R56)</f>
        <v/>
      </c>
      <c r="T72" s="615" t="str">
        <f>IF(Summary_Products!S56="","",Summary_Products!S56)</f>
        <v/>
      </c>
      <c r="U72" s="615" t="str">
        <f>IF(Summary_Products!T56="","",Summary_Products!T56)</f>
        <v/>
      </c>
      <c r="V72" s="615" t="str">
        <f>IF(Summary_Products!U56="","",Summary_Products!U56)</f>
        <v/>
      </c>
      <c r="W72" s="615" t="str">
        <f>IF(Summary_Products!V56="","",Summary_Products!V56)</f>
        <v/>
      </c>
      <c r="X72" s="615" t="str">
        <f>IF(Summary_Products!W56="","",Summary_Products!W56)</f>
        <v/>
      </c>
      <c r="Y72" s="615" t="str">
        <f>IF(Summary_Products!X56="","",Summary_Products!X56)</f>
        <v/>
      </c>
      <c r="Z72" s="615" t="str">
        <f>IF(Summary_Products!Y56="","",Summary_Products!Y56)</f>
        <v/>
      </c>
      <c r="AA72" s="615" t="str">
        <f>IF(Summary_Products!Z56="","",Summary_Products!Z56)</f>
        <v/>
      </c>
      <c r="AB72" s="615" t="str">
        <f>IF(Summary_Products!AA56="","",Summary_Products!AA56)</f>
        <v/>
      </c>
      <c r="AC72" s="615" t="str">
        <f>IF(Summary_Products!AB56="","",Summary_Products!AB56)</f>
        <v/>
      </c>
      <c r="AD72" s="615" t="str">
        <f>IF(Summary_Products!AC56="","",Summary_Products!AC56)</f>
        <v/>
      </c>
      <c r="AE72" s="615" t="str">
        <f>IF(Summary_Products!AD56="","",Summary_Products!AD56)</f>
        <v/>
      </c>
      <c r="AF72" s="615" t="str">
        <f>IF(Summary_Products!AE56="","",Summary_Products!AE56)</f>
        <v/>
      </c>
      <c r="AG72" s="615" t="str">
        <f>IF(Summary_Products!AF56="","",Summary_Products!AF56)</f>
        <v/>
      </c>
      <c r="AH72" s="615" t="str">
        <f>IF(Summary_Products!AG56="","",Summary_Products!AG56)</f>
        <v/>
      </c>
      <c r="AI72" s="615" t="str">
        <f>IF(Summary_Products!AH56="","",Summary_Products!AH56)</f>
        <v/>
      </c>
      <c r="AJ72" s="615" t="str">
        <f>IF(Summary_Products!AI56="","",Summary_Products!AI56)</f>
        <v/>
      </c>
      <c r="AK72" s="615" t="str">
        <f>IF(Summary_Products!AJ56="","",Summary_Products!AJ56)</f>
        <v/>
      </c>
      <c r="AL72" s="615" t="str">
        <f>IF(Summary_Products!AK56="","",Summary_Products!AK56)</f>
        <v/>
      </c>
      <c r="AM72" s="421" t="str">
        <f>IF(Summary_Products!AL56="","",INDEX(Translations!$C:$C,MATCH(Summary_Products!AL56,Translations!$B:$B,0)))</f>
        <v/>
      </c>
      <c r="AN72" s="615" t="str">
        <f>IF(Summary_Products!AM56="","",Summary_Products!AM56)</f>
        <v/>
      </c>
      <c r="AO72" s="473" t="str">
        <f>IF(Summary_Products!AN56="","",Summary_Products!AN56)</f>
        <v/>
      </c>
      <c r="AP72" s="474" t="str">
        <f>IF(Summary_Products!AO56="","",Summary_Products!AO56)</f>
        <v/>
      </c>
      <c r="AQ72" s="160" t="str">
        <f>IF(Summary_Products!AP56="","",Summary_Products!AP56)</f>
        <v/>
      </c>
      <c r="AR72" s="477" t="str">
        <f>IF(Summary_Products!AR56="","",Summary_Products!AR56)</f>
        <v/>
      </c>
      <c r="AS72" s="474" t="str">
        <f>IF(Summary_Products!AS56="","",Summary_Products!AS56)</f>
        <v/>
      </c>
      <c r="AT72" s="421" t="str">
        <f>IF(Summary_Products!AT56="","",INDEX(Translations!$C:$C,MATCH(Summary_Products!AT56,Translations!$B:$B,0)))</f>
        <v/>
      </c>
      <c r="AU72" s="615" t="str">
        <f>IF(Summary_Products!AU56="","",Summary_Products!AU56)</f>
        <v/>
      </c>
      <c r="AV72" s="473" t="str">
        <f>IF(Summary_Products!AV56="","",Summary_Products!AV56)</f>
        <v/>
      </c>
      <c r="AW72" s="474" t="str">
        <f>IF(Summary_Products!AW56="","",Summary_Products!AW56)</f>
        <v/>
      </c>
      <c r="AX72" s="477" t="str">
        <f>IF(Summary_Products!AX56="","",Summary_Products!AX56)</f>
        <v/>
      </c>
      <c r="AY72" s="474" t="str">
        <f>IF(Summary_Products!AY56="","",Summary_Products!AY56)</f>
        <v/>
      </c>
      <c r="AZ72" s="477" t="str">
        <f>IF(Summary_Products!AZ56="","",Summary_Products!AZ56)</f>
        <v/>
      </c>
      <c r="BA72" s="478" t="str">
        <f>IF(Summary_Products!BA56="","",Summary_Products!BA56)</f>
        <v/>
      </c>
      <c r="BD72" s="156"/>
      <c r="BE72" s="156"/>
      <c r="BF72" s="156"/>
      <c r="BG72" s="156"/>
    </row>
    <row r="73" spans="2:59" ht="12.75"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782" t="str">
        <f t="shared" si="0"/>
        <v/>
      </c>
      <c r="Q73" s="160" t="str">
        <f>IF(Summary_Products!P57="","",INDEX(Translations!$C:$C,MATCH(Summary_Products!P57,Translations!$B:$B,0)))</f>
        <v/>
      </c>
      <c r="R73" s="160" t="str">
        <f>IF(Summary_Products!Q57="","",Summary_Products!Q57)</f>
        <v/>
      </c>
      <c r="S73" s="615" t="str">
        <f>IF(Summary_Products!R57="","",Summary_Products!R57)</f>
        <v/>
      </c>
      <c r="T73" s="615" t="str">
        <f>IF(Summary_Products!S57="","",Summary_Products!S57)</f>
        <v/>
      </c>
      <c r="U73" s="615" t="str">
        <f>IF(Summary_Products!T57="","",Summary_Products!T57)</f>
        <v/>
      </c>
      <c r="V73" s="615" t="str">
        <f>IF(Summary_Products!U57="","",Summary_Products!U57)</f>
        <v/>
      </c>
      <c r="W73" s="615" t="str">
        <f>IF(Summary_Products!V57="","",Summary_Products!V57)</f>
        <v/>
      </c>
      <c r="X73" s="615" t="str">
        <f>IF(Summary_Products!W57="","",Summary_Products!W57)</f>
        <v/>
      </c>
      <c r="Y73" s="615" t="str">
        <f>IF(Summary_Products!X57="","",Summary_Products!X57)</f>
        <v/>
      </c>
      <c r="Z73" s="615" t="str">
        <f>IF(Summary_Products!Y57="","",Summary_Products!Y57)</f>
        <v/>
      </c>
      <c r="AA73" s="615" t="str">
        <f>IF(Summary_Products!Z57="","",Summary_Products!Z57)</f>
        <v/>
      </c>
      <c r="AB73" s="615" t="str">
        <f>IF(Summary_Products!AA57="","",Summary_Products!AA57)</f>
        <v/>
      </c>
      <c r="AC73" s="615" t="str">
        <f>IF(Summary_Products!AB57="","",Summary_Products!AB57)</f>
        <v/>
      </c>
      <c r="AD73" s="615" t="str">
        <f>IF(Summary_Products!AC57="","",Summary_Products!AC57)</f>
        <v/>
      </c>
      <c r="AE73" s="615" t="str">
        <f>IF(Summary_Products!AD57="","",Summary_Products!AD57)</f>
        <v/>
      </c>
      <c r="AF73" s="615" t="str">
        <f>IF(Summary_Products!AE57="","",Summary_Products!AE57)</f>
        <v/>
      </c>
      <c r="AG73" s="615" t="str">
        <f>IF(Summary_Products!AF57="","",Summary_Products!AF57)</f>
        <v/>
      </c>
      <c r="AH73" s="615" t="str">
        <f>IF(Summary_Products!AG57="","",Summary_Products!AG57)</f>
        <v/>
      </c>
      <c r="AI73" s="615" t="str">
        <f>IF(Summary_Products!AH57="","",Summary_Products!AH57)</f>
        <v/>
      </c>
      <c r="AJ73" s="615" t="str">
        <f>IF(Summary_Products!AI57="","",Summary_Products!AI57)</f>
        <v/>
      </c>
      <c r="AK73" s="615" t="str">
        <f>IF(Summary_Products!AJ57="","",Summary_Products!AJ57)</f>
        <v/>
      </c>
      <c r="AL73" s="615" t="str">
        <f>IF(Summary_Products!AK57="","",Summary_Products!AK57)</f>
        <v/>
      </c>
      <c r="AM73" s="421" t="str">
        <f>IF(Summary_Products!AL57="","",INDEX(Translations!$C:$C,MATCH(Summary_Products!AL57,Translations!$B:$B,0)))</f>
        <v/>
      </c>
      <c r="AN73" s="615" t="str">
        <f>IF(Summary_Products!AM57="","",Summary_Products!AM57)</f>
        <v/>
      </c>
      <c r="AO73" s="473" t="str">
        <f>IF(Summary_Products!AN57="","",Summary_Products!AN57)</f>
        <v/>
      </c>
      <c r="AP73" s="474" t="str">
        <f>IF(Summary_Products!AO57="","",Summary_Products!AO57)</f>
        <v/>
      </c>
      <c r="AQ73" s="160" t="str">
        <f>IF(Summary_Products!AP57="","",Summary_Products!AP57)</f>
        <v/>
      </c>
      <c r="AR73" s="477" t="str">
        <f>IF(Summary_Products!AR57="","",Summary_Products!AR57)</f>
        <v/>
      </c>
      <c r="AS73" s="474" t="str">
        <f>IF(Summary_Products!AS57="","",Summary_Products!AS57)</f>
        <v/>
      </c>
      <c r="AT73" s="421" t="str">
        <f>IF(Summary_Products!AT57="","",INDEX(Translations!$C:$C,MATCH(Summary_Products!AT57,Translations!$B:$B,0)))</f>
        <v/>
      </c>
      <c r="AU73" s="615" t="str">
        <f>IF(Summary_Products!AU57="","",Summary_Products!AU57)</f>
        <v/>
      </c>
      <c r="AV73" s="473" t="str">
        <f>IF(Summary_Products!AV57="","",Summary_Products!AV57)</f>
        <v/>
      </c>
      <c r="AW73" s="474" t="str">
        <f>IF(Summary_Products!AW57="","",Summary_Products!AW57)</f>
        <v/>
      </c>
      <c r="AX73" s="477" t="str">
        <f>IF(Summary_Products!AX57="","",Summary_Products!AX57)</f>
        <v/>
      </c>
      <c r="AY73" s="474" t="str">
        <f>IF(Summary_Products!AY57="","",Summary_Products!AY57)</f>
        <v/>
      </c>
      <c r="AZ73" s="477" t="str">
        <f>IF(Summary_Products!AZ57="","",Summary_Products!AZ57)</f>
        <v/>
      </c>
      <c r="BA73" s="478" t="str">
        <f>IF(Summary_Products!BA57="","",Summary_Products!BA57)</f>
        <v/>
      </c>
      <c r="BD73" s="156"/>
      <c r="BE73" s="156"/>
      <c r="BF73" s="156"/>
      <c r="BG73" s="156"/>
    </row>
    <row r="74" spans="2:59" ht="12.75"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782" t="str">
        <f t="shared" si="0"/>
        <v/>
      </c>
      <c r="Q74" s="160" t="str">
        <f>IF(Summary_Products!P58="","",INDEX(Translations!$C:$C,MATCH(Summary_Products!P58,Translations!$B:$B,0)))</f>
        <v/>
      </c>
      <c r="R74" s="160" t="str">
        <f>IF(Summary_Products!Q58="","",Summary_Products!Q58)</f>
        <v/>
      </c>
      <c r="S74" s="615" t="str">
        <f>IF(Summary_Products!R58="","",Summary_Products!R58)</f>
        <v/>
      </c>
      <c r="T74" s="615" t="str">
        <f>IF(Summary_Products!S58="","",Summary_Products!S58)</f>
        <v/>
      </c>
      <c r="U74" s="615" t="str">
        <f>IF(Summary_Products!T58="","",Summary_Products!T58)</f>
        <v/>
      </c>
      <c r="V74" s="615" t="str">
        <f>IF(Summary_Products!U58="","",Summary_Products!U58)</f>
        <v/>
      </c>
      <c r="W74" s="615" t="str">
        <f>IF(Summary_Products!V58="","",Summary_Products!V58)</f>
        <v/>
      </c>
      <c r="X74" s="615" t="str">
        <f>IF(Summary_Products!W58="","",Summary_Products!W58)</f>
        <v/>
      </c>
      <c r="Y74" s="615" t="str">
        <f>IF(Summary_Products!X58="","",Summary_Products!X58)</f>
        <v/>
      </c>
      <c r="Z74" s="615" t="str">
        <f>IF(Summary_Products!Y58="","",Summary_Products!Y58)</f>
        <v/>
      </c>
      <c r="AA74" s="615" t="str">
        <f>IF(Summary_Products!Z58="","",Summary_Products!Z58)</f>
        <v/>
      </c>
      <c r="AB74" s="615" t="str">
        <f>IF(Summary_Products!AA58="","",Summary_Products!AA58)</f>
        <v/>
      </c>
      <c r="AC74" s="615" t="str">
        <f>IF(Summary_Products!AB58="","",Summary_Products!AB58)</f>
        <v/>
      </c>
      <c r="AD74" s="615" t="str">
        <f>IF(Summary_Products!AC58="","",Summary_Products!AC58)</f>
        <v/>
      </c>
      <c r="AE74" s="615" t="str">
        <f>IF(Summary_Products!AD58="","",Summary_Products!AD58)</f>
        <v/>
      </c>
      <c r="AF74" s="615" t="str">
        <f>IF(Summary_Products!AE58="","",Summary_Products!AE58)</f>
        <v/>
      </c>
      <c r="AG74" s="615" t="str">
        <f>IF(Summary_Products!AF58="","",Summary_Products!AF58)</f>
        <v/>
      </c>
      <c r="AH74" s="615" t="str">
        <f>IF(Summary_Products!AG58="","",Summary_Products!AG58)</f>
        <v/>
      </c>
      <c r="AI74" s="615" t="str">
        <f>IF(Summary_Products!AH58="","",Summary_Products!AH58)</f>
        <v/>
      </c>
      <c r="AJ74" s="615" t="str">
        <f>IF(Summary_Products!AI58="","",Summary_Products!AI58)</f>
        <v/>
      </c>
      <c r="AK74" s="615" t="str">
        <f>IF(Summary_Products!AJ58="","",Summary_Products!AJ58)</f>
        <v/>
      </c>
      <c r="AL74" s="615" t="str">
        <f>IF(Summary_Products!AK58="","",Summary_Products!AK58)</f>
        <v/>
      </c>
      <c r="AM74" s="421" t="str">
        <f>IF(Summary_Products!AL58="","",INDEX(Translations!$C:$C,MATCH(Summary_Products!AL58,Translations!$B:$B,0)))</f>
        <v/>
      </c>
      <c r="AN74" s="615" t="str">
        <f>IF(Summary_Products!AM58="","",Summary_Products!AM58)</f>
        <v/>
      </c>
      <c r="AO74" s="473" t="str">
        <f>IF(Summary_Products!AN58="","",Summary_Products!AN58)</f>
        <v/>
      </c>
      <c r="AP74" s="474" t="str">
        <f>IF(Summary_Products!AO58="","",Summary_Products!AO58)</f>
        <v/>
      </c>
      <c r="AQ74" s="160" t="str">
        <f>IF(Summary_Products!AP58="","",Summary_Products!AP58)</f>
        <v/>
      </c>
      <c r="AR74" s="477" t="str">
        <f>IF(Summary_Products!AR58="","",Summary_Products!AR58)</f>
        <v/>
      </c>
      <c r="AS74" s="474" t="str">
        <f>IF(Summary_Products!AS58="","",Summary_Products!AS58)</f>
        <v/>
      </c>
      <c r="AT74" s="421" t="str">
        <f>IF(Summary_Products!AT58="","",INDEX(Translations!$C:$C,MATCH(Summary_Products!AT58,Translations!$B:$B,0)))</f>
        <v/>
      </c>
      <c r="AU74" s="615" t="str">
        <f>IF(Summary_Products!AU58="","",Summary_Products!AU58)</f>
        <v/>
      </c>
      <c r="AV74" s="473" t="str">
        <f>IF(Summary_Products!AV58="","",Summary_Products!AV58)</f>
        <v/>
      </c>
      <c r="AW74" s="474" t="str">
        <f>IF(Summary_Products!AW58="","",Summary_Products!AW58)</f>
        <v/>
      </c>
      <c r="AX74" s="477" t="str">
        <f>IF(Summary_Products!AX58="","",Summary_Products!AX58)</f>
        <v/>
      </c>
      <c r="AY74" s="474" t="str">
        <f>IF(Summary_Products!AY58="","",Summary_Products!AY58)</f>
        <v/>
      </c>
      <c r="AZ74" s="477" t="str">
        <f>IF(Summary_Products!AZ58="","",Summary_Products!AZ58)</f>
        <v/>
      </c>
      <c r="BA74" s="478" t="str">
        <f>IF(Summary_Products!BA58="","",Summary_Products!BA58)</f>
        <v/>
      </c>
      <c r="BD74" s="156"/>
      <c r="BE74" s="156"/>
      <c r="BF74" s="156"/>
      <c r="BG74" s="156"/>
    </row>
    <row r="75" spans="2:59" ht="12.75"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782" t="str">
        <f t="shared" si="0"/>
        <v/>
      </c>
      <c r="Q75" s="160" t="str">
        <f>IF(Summary_Products!P59="","",INDEX(Translations!$C:$C,MATCH(Summary_Products!P59,Translations!$B:$B,0)))</f>
        <v/>
      </c>
      <c r="R75" s="160" t="str">
        <f>IF(Summary_Products!Q59="","",Summary_Products!Q59)</f>
        <v/>
      </c>
      <c r="S75" s="615" t="str">
        <f>IF(Summary_Products!R59="","",Summary_Products!R59)</f>
        <v/>
      </c>
      <c r="T75" s="615" t="str">
        <f>IF(Summary_Products!S59="","",Summary_Products!S59)</f>
        <v/>
      </c>
      <c r="U75" s="615" t="str">
        <f>IF(Summary_Products!T59="","",Summary_Products!T59)</f>
        <v/>
      </c>
      <c r="V75" s="615" t="str">
        <f>IF(Summary_Products!U59="","",Summary_Products!U59)</f>
        <v/>
      </c>
      <c r="W75" s="615" t="str">
        <f>IF(Summary_Products!V59="","",Summary_Products!V59)</f>
        <v/>
      </c>
      <c r="X75" s="615" t="str">
        <f>IF(Summary_Products!W59="","",Summary_Products!W59)</f>
        <v/>
      </c>
      <c r="Y75" s="615" t="str">
        <f>IF(Summary_Products!X59="","",Summary_Products!X59)</f>
        <v/>
      </c>
      <c r="Z75" s="615" t="str">
        <f>IF(Summary_Products!Y59="","",Summary_Products!Y59)</f>
        <v/>
      </c>
      <c r="AA75" s="615" t="str">
        <f>IF(Summary_Products!Z59="","",Summary_Products!Z59)</f>
        <v/>
      </c>
      <c r="AB75" s="615" t="str">
        <f>IF(Summary_Products!AA59="","",Summary_Products!AA59)</f>
        <v/>
      </c>
      <c r="AC75" s="615" t="str">
        <f>IF(Summary_Products!AB59="","",Summary_Products!AB59)</f>
        <v/>
      </c>
      <c r="AD75" s="615" t="str">
        <f>IF(Summary_Products!AC59="","",Summary_Products!AC59)</f>
        <v/>
      </c>
      <c r="AE75" s="615" t="str">
        <f>IF(Summary_Products!AD59="","",Summary_Products!AD59)</f>
        <v/>
      </c>
      <c r="AF75" s="615" t="str">
        <f>IF(Summary_Products!AE59="","",Summary_Products!AE59)</f>
        <v/>
      </c>
      <c r="AG75" s="615" t="str">
        <f>IF(Summary_Products!AF59="","",Summary_Products!AF59)</f>
        <v/>
      </c>
      <c r="AH75" s="615" t="str">
        <f>IF(Summary_Products!AG59="","",Summary_Products!AG59)</f>
        <v/>
      </c>
      <c r="AI75" s="615" t="str">
        <f>IF(Summary_Products!AH59="","",Summary_Products!AH59)</f>
        <v/>
      </c>
      <c r="AJ75" s="615" t="str">
        <f>IF(Summary_Products!AI59="","",Summary_Products!AI59)</f>
        <v/>
      </c>
      <c r="AK75" s="615" t="str">
        <f>IF(Summary_Products!AJ59="","",Summary_Products!AJ59)</f>
        <v/>
      </c>
      <c r="AL75" s="615" t="str">
        <f>IF(Summary_Products!AK59="","",Summary_Products!AK59)</f>
        <v/>
      </c>
      <c r="AM75" s="421" t="str">
        <f>IF(Summary_Products!AL59="","",INDEX(Translations!$C:$C,MATCH(Summary_Products!AL59,Translations!$B:$B,0)))</f>
        <v/>
      </c>
      <c r="AN75" s="615" t="str">
        <f>IF(Summary_Products!AM59="","",Summary_Products!AM59)</f>
        <v/>
      </c>
      <c r="AO75" s="473" t="str">
        <f>IF(Summary_Products!AN59="","",Summary_Products!AN59)</f>
        <v/>
      </c>
      <c r="AP75" s="474" t="str">
        <f>IF(Summary_Products!AO59="","",Summary_Products!AO59)</f>
        <v/>
      </c>
      <c r="AQ75" s="160" t="str">
        <f>IF(Summary_Products!AP59="","",Summary_Products!AP59)</f>
        <v/>
      </c>
      <c r="AR75" s="477" t="str">
        <f>IF(Summary_Products!AR59="","",Summary_Products!AR59)</f>
        <v/>
      </c>
      <c r="AS75" s="474" t="str">
        <f>IF(Summary_Products!AS59="","",Summary_Products!AS59)</f>
        <v/>
      </c>
      <c r="AT75" s="421" t="str">
        <f>IF(Summary_Products!AT59="","",INDEX(Translations!$C:$C,MATCH(Summary_Products!AT59,Translations!$B:$B,0)))</f>
        <v/>
      </c>
      <c r="AU75" s="615" t="str">
        <f>IF(Summary_Products!AU59="","",Summary_Products!AU59)</f>
        <v/>
      </c>
      <c r="AV75" s="473" t="str">
        <f>IF(Summary_Products!AV59="","",Summary_Products!AV59)</f>
        <v/>
      </c>
      <c r="AW75" s="474" t="str">
        <f>IF(Summary_Products!AW59="","",Summary_Products!AW59)</f>
        <v/>
      </c>
      <c r="AX75" s="477" t="str">
        <f>IF(Summary_Products!AX59="","",Summary_Products!AX59)</f>
        <v/>
      </c>
      <c r="AY75" s="474" t="str">
        <f>IF(Summary_Products!AY59="","",Summary_Products!AY59)</f>
        <v/>
      </c>
      <c r="AZ75" s="477" t="str">
        <f>IF(Summary_Products!AZ59="","",Summary_Products!AZ59)</f>
        <v/>
      </c>
      <c r="BA75" s="478" t="str">
        <f>IF(Summary_Products!BA59="","",Summary_Products!BA59)</f>
        <v/>
      </c>
      <c r="BD75" s="156"/>
      <c r="BE75" s="156"/>
      <c r="BF75" s="156"/>
      <c r="BG75" s="156"/>
    </row>
    <row r="76" spans="2:59" ht="12.75"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782" t="str">
        <f t="shared" si="0"/>
        <v/>
      </c>
      <c r="Q76" s="160" t="str">
        <f>IF(Summary_Products!P60="","",INDEX(Translations!$C:$C,MATCH(Summary_Products!P60,Translations!$B:$B,0)))</f>
        <v/>
      </c>
      <c r="R76" s="160" t="str">
        <f>IF(Summary_Products!Q60="","",Summary_Products!Q60)</f>
        <v/>
      </c>
      <c r="S76" s="615" t="str">
        <f>IF(Summary_Products!R60="","",Summary_Products!R60)</f>
        <v/>
      </c>
      <c r="T76" s="615" t="str">
        <f>IF(Summary_Products!S60="","",Summary_Products!S60)</f>
        <v/>
      </c>
      <c r="U76" s="615" t="str">
        <f>IF(Summary_Products!T60="","",Summary_Products!T60)</f>
        <v/>
      </c>
      <c r="V76" s="615" t="str">
        <f>IF(Summary_Products!U60="","",Summary_Products!U60)</f>
        <v/>
      </c>
      <c r="W76" s="615" t="str">
        <f>IF(Summary_Products!V60="","",Summary_Products!V60)</f>
        <v/>
      </c>
      <c r="X76" s="615" t="str">
        <f>IF(Summary_Products!W60="","",Summary_Products!W60)</f>
        <v/>
      </c>
      <c r="Y76" s="615" t="str">
        <f>IF(Summary_Products!X60="","",Summary_Products!X60)</f>
        <v/>
      </c>
      <c r="Z76" s="615" t="str">
        <f>IF(Summary_Products!Y60="","",Summary_Products!Y60)</f>
        <v/>
      </c>
      <c r="AA76" s="615" t="str">
        <f>IF(Summary_Products!Z60="","",Summary_Products!Z60)</f>
        <v/>
      </c>
      <c r="AB76" s="615" t="str">
        <f>IF(Summary_Products!AA60="","",Summary_Products!AA60)</f>
        <v/>
      </c>
      <c r="AC76" s="615" t="str">
        <f>IF(Summary_Products!AB60="","",Summary_Products!AB60)</f>
        <v/>
      </c>
      <c r="AD76" s="615" t="str">
        <f>IF(Summary_Products!AC60="","",Summary_Products!AC60)</f>
        <v/>
      </c>
      <c r="AE76" s="615" t="str">
        <f>IF(Summary_Products!AD60="","",Summary_Products!AD60)</f>
        <v/>
      </c>
      <c r="AF76" s="615" t="str">
        <f>IF(Summary_Products!AE60="","",Summary_Products!AE60)</f>
        <v/>
      </c>
      <c r="AG76" s="615" t="str">
        <f>IF(Summary_Products!AF60="","",Summary_Products!AF60)</f>
        <v/>
      </c>
      <c r="AH76" s="615" t="str">
        <f>IF(Summary_Products!AG60="","",Summary_Products!AG60)</f>
        <v/>
      </c>
      <c r="AI76" s="615" t="str">
        <f>IF(Summary_Products!AH60="","",Summary_Products!AH60)</f>
        <v/>
      </c>
      <c r="AJ76" s="615" t="str">
        <f>IF(Summary_Products!AI60="","",Summary_Products!AI60)</f>
        <v/>
      </c>
      <c r="AK76" s="615" t="str">
        <f>IF(Summary_Products!AJ60="","",Summary_Products!AJ60)</f>
        <v/>
      </c>
      <c r="AL76" s="615" t="str">
        <f>IF(Summary_Products!AK60="","",Summary_Products!AK60)</f>
        <v/>
      </c>
      <c r="AM76" s="421" t="str">
        <f>IF(Summary_Products!AL60="","",INDEX(Translations!$C:$C,MATCH(Summary_Products!AL60,Translations!$B:$B,0)))</f>
        <v/>
      </c>
      <c r="AN76" s="615" t="str">
        <f>IF(Summary_Products!AM60="","",Summary_Products!AM60)</f>
        <v/>
      </c>
      <c r="AO76" s="473" t="str">
        <f>IF(Summary_Products!AN60="","",Summary_Products!AN60)</f>
        <v/>
      </c>
      <c r="AP76" s="474" t="str">
        <f>IF(Summary_Products!AO60="","",Summary_Products!AO60)</f>
        <v/>
      </c>
      <c r="AQ76" s="160" t="str">
        <f>IF(Summary_Products!AP60="","",Summary_Products!AP60)</f>
        <v/>
      </c>
      <c r="AR76" s="477" t="str">
        <f>IF(Summary_Products!AR60="","",Summary_Products!AR60)</f>
        <v/>
      </c>
      <c r="AS76" s="474" t="str">
        <f>IF(Summary_Products!AS60="","",Summary_Products!AS60)</f>
        <v/>
      </c>
      <c r="AT76" s="421" t="str">
        <f>IF(Summary_Products!AT60="","",INDEX(Translations!$C:$C,MATCH(Summary_Products!AT60,Translations!$B:$B,0)))</f>
        <v/>
      </c>
      <c r="AU76" s="615" t="str">
        <f>IF(Summary_Products!AU60="","",Summary_Products!AU60)</f>
        <v/>
      </c>
      <c r="AV76" s="473" t="str">
        <f>IF(Summary_Products!AV60="","",Summary_Products!AV60)</f>
        <v/>
      </c>
      <c r="AW76" s="474" t="str">
        <f>IF(Summary_Products!AW60="","",Summary_Products!AW60)</f>
        <v/>
      </c>
      <c r="AX76" s="477" t="str">
        <f>IF(Summary_Products!AX60="","",Summary_Products!AX60)</f>
        <v/>
      </c>
      <c r="AY76" s="474" t="str">
        <f>IF(Summary_Products!AY60="","",Summary_Products!AY60)</f>
        <v/>
      </c>
      <c r="AZ76" s="477" t="str">
        <f>IF(Summary_Products!AZ60="","",Summary_Products!AZ60)</f>
        <v/>
      </c>
      <c r="BA76" s="478" t="str">
        <f>IF(Summary_Products!BA60="","",Summary_Products!BA60)</f>
        <v/>
      </c>
      <c r="BD76" s="156"/>
      <c r="BE76" s="156"/>
      <c r="BF76" s="156"/>
      <c r="BG76" s="156"/>
    </row>
    <row r="77" spans="2:59" ht="12.75"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782" t="str">
        <f t="shared" si="0"/>
        <v/>
      </c>
      <c r="Q77" s="160" t="str">
        <f>IF(Summary_Products!P61="","",INDEX(Translations!$C:$C,MATCH(Summary_Products!P61,Translations!$B:$B,0)))</f>
        <v/>
      </c>
      <c r="R77" s="160" t="str">
        <f>IF(Summary_Products!Q61="","",Summary_Products!Q61)</f>
        <v/>
      </c>
      <c r="S77" s="615" t="str">
        <f>IF(Summary_Products!R61="","",Summary_Products!R61)</f>
        <v/>
      </c>
      <c r="T77" s="615" t="str">
        <f>IF(Summary_Products!S61="","",Summary_Products!S61)</f>
        <v/>
      </c>
      <c r="U77" s="615" t="str">
        <f>IF(Summary_Products!T61="","",Summary_Products!T61)</f>
        <v/>
      </c>
      <c r="V77" s="615" t="str">
        <f>IF(Summary_Products!U61="","",Summary_Products!U61)</f>
        <v/>
      </c>
      <c r="W77" s="615" t="str">
        <f>IF(Summary_Products!V61="","",Summary_Products!V61)</f>
        <v/>
      </c>
      <c r="X77" s="615" t="str">
        <f>IF(Summary_Products!W61="","",Summary_Products!W61)</f>
        <v/>
      </c>
      <c r="Y77" s="615" t="str">
        <f>IF(Summary_Products!X61="","",Summary_Products!X61)</f>
        <v/>
      </c>
      <c r="Z77" s="615" t="str">
        <f>IF(Summary_Products!Y61="","",Summary_Products!Y61)</f>
        <v/>
      </c>
      <c r="AA77" s="615" t="str">
        <f>IF(Summary_Products!Z61="","",Summary_Products!Z61)</f>
        <v/>
      </c>
      <c r="AB77" s="615" t="str">
        <f>IF(Summary_Products!AA61="","",Summary_Products!AA61)</f>
        <v/>
      </c>
      <c r="AC77" s="615" t="str">
        <f>IF(Summary_Products!AB61="","",Summary_Products!AB61)</f>
        <v/>
      </c>
      <c r="AD77" s="615" t="str">
        <f>IF(Summary_Products!AC61="","",Summary_Products!AC61)</f>
        <v/>
      </c>
      <c r="AE77" s="615" t="str">
        <f>IF(Summary_Products!AD61="","",Summary_Products!AD61)</f>
        <v/>
      </c>
      <c r="AF77" s="615" t="str">
        <f>IF(Summary_Products!AE61="","",Summary_Products!AE61)</f>
        <v/>
      </c>
      <c r="AG77" s="615" t="str">
        <f>IF(Summary_Products!AF61="","",Summary_Products!AF61)</f>
        <v/>
      </c>
      <c r="AH77" s="615" t="str">
        <f>IF(Summary_Products!AG61="","",Summary_Products!AG61)</f>
        <v/>
      </c>
      <c r="AI77" s="615" t="str">
        <f>IF(Summary_Products!AH61="","",Summary_Products!AH61)</f>
        <v/>
      </c>
      <c r="AJ77" s="615" t="str">
        <f>IF(Summary_Products!AI61="","",Summary_Products!AI61)</f>
        <v/>
      </c>
      <c r="AK77" s="615" t="str">
        <f>IF(Summary_Products!AJ61="","",Summary_Products!AJ61)</f>
        <v/>
      </c>
      <c r="AL77" s="615" t="str">
        <f>IF(Summary_Products!AK61="","",Summary_Products!AK61)</f>
        <v/>
      </c>
      <c r="AM77" s="421" t="str">
        <f>IF(Summary_Products!AL61="","",INDEX(Translations!$C:$C,MATCH(Summary_Products!AL61,Translations!$B:$B,0)))</f>
        <v/>
      </c>
      <c r="AN77" s="615" t="str">
        <f>IF(Summary_Products!AM61="","",Summary_Products!AM61)</f>
        <v/>
      </c>
      <c r="AO77" s="473" t="str">
        <f>IF(Summary_Products!AN61="","",Summary_Products!AN61)</f>
        <v/>
      </c>
      <c r="AP77" s="474" t="str">
        <f>IF(Summary_Products!AO61="","",Summary_Products!AO61)</f>
        <v/>
      </c>
      <c r="AQ77" s="160" t="str">
        <f>IF(Summary_Products!AP61="","",Summary_Products!AP61)</f>
        <v/>
      </c>
      <c r="AR77" s="477" t="str">
        <f>IF(Summary_Products!AR61="","",Summary_Products!AR61)</f>
        <v/>
      </c>
      <c r="AS77" s="474" t="str">
        <f>IF(Summary_Products!AS61="","",Summary_Products!AS61)</f>
        <v/>
      </c>
      <c r="AT77" s="421" t="str">
        <f>IF(Summary_Products!AT61="","",INDEX(Translations!$C:$C,MATCH(Summary_Products!AT61,Translations!$B:$B,0)))</f>
        <v/>
      </c>
      <c r="AU77" s="615" t="str">
        <f>IF(Summary_Products!AU61="","",Summary_Products!AU61)</f>
        <v/>
      </c>
      <c r="AV77" s="473" t="str">
        <f>IF(Summary_Products!AV61="","",Summary_Products!AV61)</f>
        <v/>
      </c>
      <c r="AW77" s="474" t="str">
        <f>IF(Summary_Products!AW61="","",Summary_Products!AW61)</f>
        <v/>
      </c>
      <c r="AX77" s="477" t="str">
        <f>IF(Summary_Products!AX61="","",Summary_Products!AX61)</f>
        <v/>
      </c>
      <c r="AY77" s="474" t="str">
        <f>IF(Summary_Products!AY61="","",Summary_Products!AY61)</f>
        <v/>
      </c>
      <c r="AZ77" s="477" t="str">
        <f>IF(Summary_Products!AZ61="","",Summary_Products!AZ61)</f>
        <v/>
      </c>
      <c r="BA77" s="478" t="str">
        <f>IF(Summary_Products!BA61="","",Summary_Products!BA61)</f>
        <v/>
      </c>
      <c r="BD77" s="156"/>
      <c r="BE77" s="156"/>
      <c r="BF77" s="156"/>
      <c r="BG77" s="156"/>
    </row>
    <row r="78" spans="2:59" ht="12.75"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782" t="str">
        <f t="shared" si="0"/>
        <v/>
      </c>
      <c r="Q78" s="160" t="str">
        <f>IF(Summary_Products!P62="","",INDEX(Translations!$C:$C,MATCH(Summary_Products!P62,Translations!$B:$B,0)))</f>
        <v/>
      </c>
      <c r="R78" s="160" t="str">
        <f>IF(Summary_Products!Q62="","",Summary_Products!Q62)</f>
        <v/>
      </c>
      <c r="S78" s="615" t="str">
        <f>IF(Summary_Products!R62="","",Summary_Products!R62)</f>
        <v/>
      </c>
      <c r="T78" s="615" t="str">
        <f>IF(Summary_Products!S62="","",Summary_Products!S62)</f>
        <v/>
      </c>
      <c r="U78" s="615" t="str">
        <f>IF(Summary_Products!T62="","",Summary_Products!T62)</f>
        <v/>
      </c>
      <c r="V78" s="615" t="str">
        <f>IF(Summary_Products!U62="","",Summary_Products!U62)</f>
        <v/>
      </c>
      <c r="W78" s="615" t="str">
        <f>IF(Summary_Products!V62="","",Summary_Products!V62)</f>
        <v/>
      </c>
      <c r="X78" s="615" t="str">
        <f>IF(Summary_Products!W62="","",Summary_Products!W62)</f>
        <v/>
      </c>
      <c r="Y78" s="615" t="str">
        <f>IF(Summary_Products!X62="","",Summary_Products!X62)</f>
        <v/>
      </c>
      <c r="Z78" s="615" t="str">
        <f>IF(Summary_Products!Y62="","",Summary_Products!Y62)</f>
        <v/>
      </c>
      <c r="AA78" s="615" t="str">
        <f>IF(Summary_Products!Z62="","",Summary_Products!Z62)</f>
        <v/>
      </c>
      <c r="AB78" s="615" t="str">
        <f>IF(Summary_Products!AA62="","",Summary_Products!AA62)</f>
        <v/>
      </c>
      <c r="AC78" s="615" t="str">
        <f>IF(Summary_Products!AB62="","",Summary_Products!AB62)</f>
        <v/>
      </c>
      <c r="AD78" s="615" t="str">
        <f>IF(Summary_Products!AC62="","",Summary_Products!AC62)</f>
        <v/>
      </c>
      <c r="AE78" s="615" t="str">
        <f>IF(Summary_Products!AD62="","",Summary_Products!AD62)</f>
        <v/>
      </c>
      <c r="AF78" s="615" t="str">
        <f>IF(Summary_Products!AE62="","",Summary_Products!AE62)</f>
        <v/>
      </c>
      <c r="AG78" s="615" t="str">
        <f>IF(Summary_Products!AF62="","",Summary_Products!AF62)</f>
        <v/>
      </c>
      <c r="AH78" s="615" t="str">
        <f>IF(Summary_Products!AG62="","",Summary_Products!AG62)</f>
        <v/>
      </c>
      <c r="AI78" s="615" t="str">
        <f>IF(Summary_Products!AH62="","",Summary_Products!AH62)</f>
        <v/>
      </c>
      <c r="AJ78" s="615" t="str">
        <f>IF(Summary_Products!AI62="","",Summary_Products!AI62)</f>
        <v/>
      </c>
      <c r="AK78" s="615" t="str">
        <f>IF(Summary_Products!AJ62="","",Summary_Products!AJ62)</f>
        <v/>
      </c>
      <c r="AL78" s="615" t="str">
        <f>IF(Summary_Products!AK62="","",Summary_Products!AK62)</f>
        <v/>
      </c>
      <c r="AM78" s="421" t="str">
        <f>IF(Summary_Products!AL62="","",INDEX(Translations!$C:$C,MATCH(Summary_Products!AL62,Translations!$B:$B,0)))</f>
        <v/>
      </c>
      <c r="AN78" s="615" t="str">
        <f>IF(Summary_Products!AM62="","",Summary_Products!AM62)</f>
        <v/>
      </c>
      <c r="AO78" s="473" t="str">
        <f>IF(Summary_Products!AN62="","",Summary_Products!AN62)</f>
        <v/>
      </c>
      <c r="AP78" s="474" t="str">
        <f>IF(Summary_Products!AO62="","",Summary_Products!AO62)</f>
        <v/>
      </c>
      <c r="AQ78" s="160" t="str">
        <f>IF(Summary_Products!AP62="","",Summary_Products!AP62)</f>
        <v/>
      </c>
      <c r="AR78" s="477" t="str">
        <f>IF(Summary_Products!AR62="","",Summary_Products!AR62)</f>
        <v/>
      </c>
      <c r="AS78" s="474" t="str">
        <f>IF(Summary_Products!AS62="","",Summary_Products!AS62)</f>
        <v/>
      </c>
      <c r="AT78" s="421" t="str">
        <f>IF(Summary_Products!AT62="","",INDEX(Translations!$C:$C,MATCH(Summary_Products!AT62,Translations!$B:$B,0)))</f>
        <v/>
      </c>
      <c r="AU78" s="615" t="str">
        <f>IF(Summary_Products!AU62="","",Summary_Products!AU62)</f>
        <v/>
      </c>
      <c r="AV78" s="473" t="str">
        <f>IF(Summary_Products!AV62="","",Summary_Products!AV62)</f>
        <v/>
      </c>
      <c r="AW78" s="474" t="str">
        <f>IF(Summary_Products!AW62="","",Summary_Products!AW62)</f>
        <v/>
      </c>
      <c r="AX78" s="477" t="str">
        <f>IF(Summary_Products!AX62="","",Summary_Products!AX62)</f>
        <v/>
      </c>
      <c r="AY78" s="474" t="str">
        <f>IF(Summary_Products!AY62="","",Summary_Products!AY62)</f>
        <v/>
      </c>
      <c r="AZ78" s="477" t="str">
        <f>IF(Summary_Products!AZ62="","",Summary_Products!AZ62)</f>
        <v/>
      </c>
      <c r="BA78" s="478" t="str">
        <f>IF(Summary_Products!BA62="","",Summary_Products!BA62)</f>
        <v/>
      </c>
      <c r="BD78" s="156"/>
      <c r="BE78" s="156"/>
      <c r="BF78" s="156"/>
      <c r="BG78" s="156"/>
    </row>
    <row r="79" spans="2:59" ht="12.75"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782" t="str">
        <f t="shared" si="0"/>
        <v/>
      </c>
      <c r="Q79" s="160" t="str">
        <f>IF(Summary_Products!P63="","",INDEX(Translations!$C:$C,MATCH(Summary_Products!P63,Translations!$B:$B,0)))</f>
        <v/>
      </c>
      <c r="R79" s="160" t="str">
        <f>IF(Summary_Products!Q63="","",Summary_Products!Q63)</f>
        <v/>
      </c>
      <c r="S79" s="615" t="str">
        <f>IF(Summary_Products!R63="","",Summary_Products!R63)</f>
        <v/>
      </c>
      <c r="T79" s="615" t="str">
        <f>IF(Summary_Products!S63="","",Summary_Products!S63)</f>
        <v/>
      </c>
      <c r="U79" s="615" t="str">
        <f>IF(Summary_Products!T63="","",Summary_Products!T63)</f>
        <v/>
      </c>
      <c r="V79" s="615" t="str">
        <f>IF(Summary_Products!U63="","",Summary_Products!U63)</f>
        <v/>
      </c>
      <c r="W79" s="615" t="str">
        <f>IF(Summary_Products!V63="","",Summary_Products!V63)</f>
        <v/>
      </c>
      <c r="X79" s="615" t="str">
        <f>IF(Summary_Products!W63="","",Summary_Products!W63)</f>
        <v/>
      </c>
      <c r="Y79" s="615" t="str">
        <f>IF(Summary_Products!X63="","",Summary_Products!X63)</f>
        <v/>
      </c>
      <c r="Z79" s="615" t="str">
        <f>IF(Summary_Products!Y63="","",Summary_Products!Y63)</f>
        <v/>
      </c>
      <c r="AA79" s="615" t="str">
        <f>IF(Summary_Products!Z63="","",Summary_Products!Z63)</f>
        <v/>
      </c>
      <c r="AB79" s="615" t="str">
        <f>IF(Summary_Products!AA63="","",Summary_Products!AA63)</f>
        <v/>
      </c>
      <c r="AC79" s="615" t="str">
        <f>IF(Summary_Products!AB63="","",Summary_Products!AB63)</f>
        <v/>
      </c>
      <c r="AD79" s="615" t="str">
        <f>IF(Summary_Products!AC63="","",Summary_Products!AC63)</f>
        <v/>
      </c>
      <c r="AE79" s="615" t="str">
        <f>IF(Summary_Products!AD63="","",Summary_Products!AD63)</f>
        <v/>
      </c>
      <c r="AF79" s="615" t="str">
        <f>IF(Summary_Products!AE63="","",Summary_Products!AE63)</f>
        <v/>
      </c>
      <c r="AG79" s="615" t="str">
        <f>IF(Summary_Products!AF63="","",Summary_Products!AF63)</f>
        <v/>
      </c>
      <c r="AH79" s="615" t="str">
        <f>IF(Summary_Products!AG63="","",Summary_Products!AG63)</f>
        <v/>
      </c>
      <c r="AI79" s="615" t="str">
        <f>IF(Summary_Products!AH63="","",Summary_Products!AH63)</f>
        <v/>
      </c>
      <c r="AJ79" s="615" t="str">
        <f>IF(Summary_Products!AI63="","",Summary_Products!AI63)</f>
        <v/>
      </c>
      <c r="AK79" s="615" t="str">
        <f>IF(Summary_Products!AJ63="","",Summary_Products!AJ63)</f>
        <v/>
      </c>
      <c r="AL79" s="615" t="str">
        <f>IF(Summary_Products!AK63="","",Summary_Products!AK63)</f>
        <v/>
      </c>
      <c r="AM79" s="421" t="str">
        <f>IF(Summary_Products!AL63="","",INDEX(Translations!$C:$C,MATCH(Summary_Products!AL63,Translations!$B:$B,0)))</f>
        <v/>
      </c>
      <c r="AN79" s="615" t="str">
        <f>IF(Summary_Products!AM63="","",Summary_Products!AM63)</f>
        <v/>
      </c>
      <c r="AO79" s="473" t="str">
        <f>IF(Summary_Products!AN63="","",Summary_Products!AN63)</f>
        <v/>
      </c>
      <c r="AP79" s="474" t="str">
        <f>IF(Summary_Products!AO63="","",Summary_Products!AO63)</f>
        <v/>
      </c>
      <c r="AQ79" s="160" t="str">
        <f>IF(Summary_Products!AP63="","",Summary_Products!AP63)</f>
        <v/>
      </c>
      <c r="AR79" s="477" t="str">
        <f>IF(Summary_Products!AR63="","",Summary_Products!AR63)</f>
        <v/>
      </c>
      <c r="AS79" s="474" t="str">
        <f>IF(Summary_Products!AS63="","",Summary_Products!AS63)</f>
        <v/>
      </c>
      <c r="AT79" s="421" t="str">
        <f>IF(Summary_Products!AT63="","",INDEX(Translations!$C:$C,MATCH(Summary_Products!AT63,Translations!$B:$B,0)))</f>
        <v/>
      </c>
      <c r="AU79" s="615" t="str">
        <f>IF(Summary_Products!AU63="","",Summary_Products!AU63)</f>
        <v/>
      </c>
      <c r="AV79" s="473" t="str">
        <f>IF(Summary_Products!AV63="","",Summary_Products!AV63)</f>
        <v/>
      </c>
      <c r="AW79" s="474" t="str">
        <f>IF(Summary_Products!AW63="","",Summary_Products!AW63)</f>
        <v/>
      </c>
      <c r="AX79" s="477" t="str">
        <f>IF(Summary_Products!AX63="","",Summary_Products!AX63)</f>
        <v/>
      </c>
      <c r="AY79" s="474" t="str">
        <f>IF(Summary_Products!AY63="","",Summary_Products!AY63)</f>
        <v/>
      </c>
      <c r="AZ79" s="477" t="str">
        <f>IF(Summary_Products!AZ63="","",Summary_Products!AZ63)</f>
        <v/>
      </c>
      <c r="BA79" s="478" t="str">
        <f>IF(Summary_Products!BA63="","",Summary_Products!BA63)</f>
        <v/>
      </c>
      <c r="BD79" s="156"/>
      <c r="BE79" s="156"/>
      <c r="BF79" s="156"/>
      <c r="BG79" s="156"/>
    </row>
    <row r="80" spans="2:59" ht="12.75"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782" t="str">
        <f t="shared" si="0"/>
        <v/>
      </c>
      <c r="Q80" s="160" t="str">
        <f>IF(Summary_Products!P64="","",INDEX(Translations!$C:$C,MATCH(Summary_Products!P64,Translations!$B:$B,0)))</f>
        <v/>
      </c>
      <c r="R80" s="160" t="str">
        <f>IF(Summary_Products!Q64="","",Summary_Products!Q64)</f>
        <v/>
      </c>
      <c r="S80" s="615" t="str">
        <f>IF(Summary_Products!R64="","",Summary_Products!R64)</f>
        <v/>
      </c>
      <c r="T80" s="615" t="str">
        <f>IF(Summary_Products!S64="","",Summary_Products!S64)</f>
        <v/>
      </c>
      <c r="U80" s="615" t="str">
        <f>IF(Summary_Products!T64="","",Summary_Products!T64)</f>
        <v/>
      </c>
      <c r="V80" s="615" t="str">
        <f>IF(Summary_Products!U64="","",Summary_Products!U64)</f>
        <v/>
      </c>
      <c r="W80" s="615" t="str">
        <f>IF(Summary_Products!V64="","",Summary_Products!V64)</f>
        <v/>
      </c>
      <c r="X80" s="615" t="str">
        <f>IF(Summary_Products!W64="","",Summary_Products!W64)</f>
        <v/>
      </c>
      <c r="Y80" s="615" t="str">
        <f>IF(Summary_Products!X64="","",Summary_Products!X64)</f>
        <v/>
      </c>
      <c r="Z80" s="615" t="str">
        <f>IF(Summary_Products!Y64="","",Summary_Products!Y64)</f>
        <v/>
      </c>
      <c r="AA80" s="615" t="str">
        <f>IF(Summary_Products!Z64="","",Summary_Products!Z64)</f>
        <v/>
      </c>
      <c r="AB80" s="615" t="str">
        <f>IF(Summary_Products!AA64="","",Summary_Products!AA64)</f>
        <v/>
      </c>
      <c r="AC80" s="615" t="str">
        <f>IF(Summary_Products!AB64="","",Summary_Products!AB64)</f>
        <v/>
      </c>
      <c r="AD80" s="615" t="str">
        <f>IF(Summary_Products!AC64="","",Summary_Products!AC64)</f>
        <v/>
      </c>
      <c r="AE80" s="615" t="str">
        <f>IF(Summary_Products!AD64="","",Summary_Products!AD64)</f>
        <v/>
      </c>
      <c r="AF80" s="615" t="str">
        <f>IF(Summary_Products!AE64="","",Summary_Products!AE64)</f>
        <v/>
      </c>
      <c r="AG80" s="615" t="str">
        <f>IF(Summary_Products!AF64="","",Summary_Products!AF64)</f>
        <v/>
      </c>
      <c r="AH80" s="615" t="str">
        <f>IF(Summary_Products!AG64="","",Summary_Products!AG64)</f>
        <v/>
      </c>
      <c r="AI80" s="615" t="str">
        <f>IF(Summary_Products!AH64="","",Summary_Products!AH64)</f>
        <v/>
      </c>
      <c r="AJ80" s="615" t="str">
        <f>IF(Summary_Products!AI64="","",Summary_Products!AI64)</f>
        <v/>
      </c>
      <c r="AK80" s="615" t="str">
        <f>IF(Summary_Products!AJ64="","",Summary_Products!AJ64)</f>
        <v/>
      </c>
      <c r="AL80" s="615" t="str">
        <f>IF(Summary_Products!AK64="","",Summary_Products!AK64)</f>
        <v/>
      </c>
      <c r="AM80" s="421" t="str">
        <f>IF(Summary_Products!AL64="","",INDEX(Translations!$C:$C,MATCH(Summary_Products!AL64,Translations!$B:$B,0)))</f>
        <v/>
      </c>
      <c r="AN80" s="615" t="str">
        <f>IF(Summary_Products!AM64="","",Summary_Products!AM64)</f>
        <v/>
      </c>
      <c r="AO80" s="473" t="str">
        <f>IF(Summary_Products!AN64="","",Summary_Products!AN64)</f>
        <v/>
      </c>
      <c r="AP80" s="474" t="str">
        <f>IF(Summary_Products!AO64="","",Summary_Products!AO64)</f>
        <v/>
      </c>
      <c r="AQ80" s="160" t="str">
        <f>IF(Summary_Products!AP64="","",Summary_Products!AP64)</f>
        <v/>
      </c>
      <c r="AR80" s="477" t="str">
        <f>IF(Summary_Products!AR64="","",Summary_Products!AR64)</f>
        <v/>
      </c>
      <c r="AS80" s="474" t="str">
        <f>IF(Summary_Products!AS64="","",Summary_Products!AS64)</f>
        <v/>
      </c>
      <c r="AT80" s="421" t="str">
        <f>IF(Summary_Products!AT64="","",INDEX(Translations!$C:$C,MATCH(Summary_Products!AT64,Translations!$B:$B,0)))</f>
        <v/>
      </c>
      <c r="AU80" s="615" t="str">
        <f>IF(Summary_Products!AU64="","",Summary_Products!AU64)</f>
        <v/>
      </c>
      <c r="AV80" s="473" t="str">
        <f>IF(Summary_Products!AV64="","",Summary_Products!AV64)</f>
        <v/>
      </c>
      <c r="AW80" s="474" t="str">
        <f>IF(Summary_Products!AW64="","",Summary_Products!AW64)</f>
        <v/>
      </c>
      <c r="AX80" s="477" t="str">
        <f>IF(Summary_Products!AX64="","",Summary_Products!AX64)</f>
        <v/>
      </c>
      <c r="AY80" s="474" t="str">
        <f>IF(Summary_Products!AY64="","",Summary_Products!AY64)</f>
        <v/>
      </c>
      <c r="AZ80" s="477" t="str">
        <f>IF(Summary_Products!AZ64="","",Summary_Products!AZ64)</f>
        <v/>
      </c>
      <c r="BA80" s="478" t="str">
        <f>IF(Summary_Products!BA64="","",Summary_Products!BA64)</f>
        <v/>
      </c>
      <c r="BD80" s="156"/>
      <c r="BE80" s="156"/>
      <c r="BF80" s="156"/>
      <c r="BG80" s="156"/>
    </row>
    <row r="81" spans="2:59" ht="12.75"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782" t="str">
        <f t="shared" si="0"/>
        <v/>
      </c>
      <c r="Q81" s="160" t="str">
        <f>IF(Summary_Products!P65="","",INDEX(Translations!$C:$C,MATCH(Summary_Products!P65,Translations!$B:$B,0)))</f>
        <v/>
      </c>
      <c r="R81" s="160" t="str">
        <f>IF(Summary_Products!Q65="","",Summary_Products!Q65)</f>
        <v/>
      </c>
      <c r="S81" s="615" t="str">
        <f>IF(Summary_Products!R65="","",Summary_Products!R65)</f>
        <v/>
      </c>
      <c r="T81" s="615" t="str">
        <f>IF(Summary_Products!S65="","",Summary_Products!S65)</f>
        <v/>
      </c>
      <c r="U81" s="615" t="str">
        <f>IF(Summary_Products!T65="","",Summary_Products!T65)</f>
        <v/>
      </c>
      <c r="V81" s="615" t="str">
        <f>IF(Summary_Products!U65="","",Summary_Products!U65)</f>
        <v/>
      </c>
      <c r="W81" s="615" t="str">
        <f>IF(Summary_Products!V65="","",Summary_Products!V65)</f>
        <v/>
      </c>
      <c r="X81" s="615" t="str">
        <f>IF(Summary_Products!W65="","",Summary_Products!W65)</f>
        <v/>
      </c>
      <c r="Y81" s="615" t="str">
        <f>IF(Summary_Products!X65="","",Summary_Products!X65)</f>
        <v/>
      </c>
      <c r="Z81" s="615" t="str">
        <f>IF(Summary_Products!Y65="","",Summary_Products!Y65)</f>
        <v/>
      </c>
      <c r="AA81" s="615" t="str">
        <f>IF(Summary_Products!Z65="","",Summary_Products!Z65)</f>
        <v/>
      </c>
      <c r="AB81" s="615" t="str">
        <f>IF(Summary_Products!AA65="","",Summary_Products!AA65)</f>
        <v/>
      </c>
      <c r="AC81" s="615" t="str">
        <f>IF(Summary_Products!AB65="","",Summary_Products!AB65)</f>
        <v/>
      </c>
      <c r="AD81" s="615" t="str">
        <f>IF(Summary_Products!AC65="","",Summary_Products!AC65)</f>
        <v/>
      </c>
      <c r="AE81" s="615" t="str">
        <f>IF(Summary_Products!AD65="","",Summary_Products!AD65)</f>
        <v/>
      </c>
      <c r="AF81" s="615" t="str">
        <f>IF(Summary_Products!AE65="","",Summary_Products!AE65)</f>
        <v/>
      </c>
      <c r="AG81" s="615" t="str">
        <f>IF(Summary_Products!AF65="","",Summary_Products!AF65)</f>
        <v/>
      </c>
      <c r="AH81" s="615" t="str">
        <f>IF(Summary_Products!AG65="","",Summary_Products!AG65)</f>
        <v/>
      </c>
      <c r="AI81" s="615" t="str">
        <f>IF(Summary_Products!AH65="","",Summary_Products!AH65)</f>
        <v/>
      </c>
      <c r="AJ81" s="615" t="str">
        <f>IF(Summary_Products!AI65="","",Summary_Products!AI65)</f>
        <v/>
      </c>
      <c r="AK81" s="615" t="str">
        <f>IF(Summary_Products!AJ65="","",Summary_Products!AJ65)</f>
        <v/>
      </c>
      <c r="AL81" s="615" t="str">
        <f>IF(Summary_Products!AK65="","",Summary_Products!AK65)</f>
        <v/>
      </c>
      <c r="AM81" s="421" t="str">
        <f>IF(Summary_Products!AL65="","",INDEX(Translations!$C:$C,MATCH(Summary_Products!AL65,Translations!$B:$B,0)))</f>
        <v/>
      </c>
      <c r="AN81" s="615" t="str">
        <f>IF(Summary_Products!AM65="","",Summary_Products!AM65)</f>
        <v/>
      </c>
      <c r="AO81" s="473" t="str">
        <f>IF(Summary_Products!AN65="","",Summary_Products!AN65)</f>
        <v/>
      </c>
      <c r="AP81" s="474" t="str">
        <f>IF(Summary_Products!AO65="","",Summary_Products!AO65)</f>
        <v/>
      </c>
      <c r="AQ81" s="160" t="str">
        <f>IF(Summary_Products!AP65="","",Summary_Products!AP65)</f>
        <v/>
      </c>
      <c r="AR81" s="477" t="str">
        <f>IF(Summary_Products!AR65="","",Summary_Products!AR65)</f>
        <v/>
      </c>
      <c r="AS81" s="474" t="str">
        <f>IF(Summary_Products!AS65="","",Summary_Products!AS65)</f>
        <v/>
      </c>
      <c r="AT81" s="421" t="str">
        <f>IF(Summary_Products!AT65="","",INDEX(Translations!$C:$C,MATCH(Summary_Products!AT65,Translations!$B:$B,0)))</f>
        <v/>
      </c>
      <c r="AU81" s="615" t="str">
        <f>IF(Summary_Products!AU65="","",Summary_Products!AU65)</f>
        <v/>
      </c>
      <c r="AV81" s="473" t="str">
        <f>IF(Summary_Products!AV65="","",Summary_Products!AV65)</f>
        <v/>
      </c>
      <c r="AW81" s="474" t="str">
        <f>IF(Summary_Products!AW65="","",Summary_Products!AW65)</f>
        <v/>
      </c>
      <c r="AX81" s="477" t="str">
        <f>IF(Summary_Products!AX65="","",Summary_Products!AX65)</f>
        <v/>
      </c>
      <c r="AY81" s="474" t="str">
        <f>IF(Summary_Products!AY65="","",Summary_Products!AY65)</f>
        <v/>
      </c>
      <c r="AZ81" s="477" t="str">
        <f>IF(Summary_Products!AZ65="","",Summary_Products!AZ65)</f>
        <v/>
      </c>
      <c r="BA81" s="478" t="str">
        <f>IF(Summary_Products!BA65="","",Summary_Products!BA65)</f>
        <v/>
      </c>
      <c r="BD81" s="156"/>
      <c r="BE81" s="156"/>
      <c r="BF81" s="156"/>
      <c r="BG81" s="156"/>
    </row>
    <row r="82" spans="2:59" ht="12.75"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782" t="str">
        <f t="shared" si="0"/>
        <v/>
      </c>
      <c r="Q82" s="160" t="str">
        <f>IF(Summary_Products!P66="","",INDEX(Translations!$C:$C,MATCH(Summary_Products!P66,Translations!$B:$B,0)))</f>
        <v/>
      </c>
      <c r="R82" s="160" t="str">
        <f>IF(Summary_Products!Q66="","",Summary_Products!Q66)</f>
        <v/>
      </c>
      <c r="S82" s="615" t="str">
        <f>IF(Summary_Products!R66="","",Summary_Products!R66)</f>
        <v/>
      </c>
      <c r="T82" s="615" t="str">
        <f>IF(Summary_Products!S66="","",Summary_Products!S66)</f>
        <v/>
      </c>
      <c r="U82" s="615" t="str">
        <f>IF(Summary_Products!T66="","",Summary_Products!T66)</f>
        <v/>
      </c>
      <c r="V82" s="615" t="str">
        <f>IF(Summary_Products!U66="","",Summary_Products!U66)</f>
        <v/>
      </c>
      <c r="W82" s="615" t="str">
        <f>IF(Summary_Products!V66="","",Summary_Products!V66)</f>
        <v/>
      </c>
      <c r="X82" s="615" t="str">
        <f>IF(Summary_Products!W66="","",Summary_Products!W66)</f>
        <v/>
      </c>
      <c r="Y82" s="615" t="str">
        <f>IF(Summary_Products!X66="","",Summary_Products!X66)</f>
        <v/>
      </c>
      <c r="Z82" s="615" t="str">
        <f>IF(Summary_Products!Y66="","",Summary_Products!Y66)</f>
        <v/>
      </c>
      <c r="AA82" s="615" t="str">
        <f>IF(Summary_Products!Z66="","",Summary_Products!Z66)</f>
        <v/>
      </c>
      <c r="AB82" s="615" t="str">
        <f>IF(Summary_Products!AA66="","",Summary_Products!AA66)</f>
        <v/>
      </c>
      <c r="AC82" s="615" t="str">
        <f>IF(Summary_Products!AB66="","",Summary_Products!AB66)</f>
        <v/>
      </c>
      <c r="AD82" s="615" t="str">
        <f>IF(Summary_Products!AC66="","",Summary_Products!AC66)</f>
        <v/>
      </c>
      <c r="AE82" s="615" t="str">
        <f>IF(Summary_Products!AD66="","",Summary_Products!AD66)</f>
        <v/>
      </c>
      <c r="AF82" s="615" t="str">
        <f>IF(Summary_Products!AE66="","",Summary_Products!AE66)</f>
        <v/>
      </c>
      <c r="AG82" s="615" t="str">
        <f>IF(Summary_Products!AF66="","",Summary_Products!AF66)</f>
        <v/>
      </c>
      <c r="AH82" s="615" t="str">
        <f>IF(Summary_Products!AG66="","",Summary_Products!AG66)</f>
        <v/>
      </c>
      <c r="AI82" s="615" t="str">
        <f>IF(Summary_Products!AH66="","",Summary_Products!AH66)</f>
        <v/>
      </c>
      <c r="AJ82" s="615" t="str">
        <f>IF(Summary_Products!AI66="","",Summary_Products!AI66)</f>
        <v/>
      </c>
      <c r="AK82" s="615" t="str">
        <f>IF(Summary_Products!AJ66="","",Summary_Products!AJ66)</f>
        <v/>
      </c>
      <c r="AL82" s="615" t="str">
        <f>IF(Summary_Products!AK66="","",Summary_Products!AK66)</f>
        <v/>
      </c>
      <c r="AM82" s="421" t="str">
        <f>IF(Summary_Products!AL66="","",INDEX(Translations!$C:$C,MATCH(Summary_Products!AL66,Translations!$B:$B,0)))</f>
        <v/>
      </c>
      <c r="AN82" s="615" t="str">
        <f>IF(Summary_Products!AM66="","",Summary_Products!AM66)</f>
        <v/>
      </c>
      <c r="AO82" s="473" t="str">
        <f>IF(Summary_Products!AN66="","",Summary_Products!AN66)</f>
        <v/>
      </c>
      <c r="AP82" s="474" t="str">
        <f>IF(Summary_Products!AO66="","",Summary_Products!AO66)</f>
        <v/>
      </c>
      <c r="AQ82" s="160" t="str">
        <f>IF(Summary_Products!AP66="","",Summary_Products!AP66)</f>
        <v/>
      </c>
      <c r="AR82" s="477" t="str">
        <f>IF(Summary_Products!AR66="","",Summary_Products!AR66)</f>
        <v/>
      </c>
      <c r="AS82" s="474" t="str">
        <f>IF(Summary_Products!AS66="","",Summary_Products!AS66)</f>
        <v/>
      </c>
      <c r="AT82" s="421" t="str">
        <f>IF(Summary_Products!AT66="","",INDEX(Translations!$C:$C,MATCH(Summary_Products!AT66,Translations!$B:$B,0)))</f>
        <v/>
      </c>
      <c r="AU82" s="615" t="str">
        <f>IF(Summary_Products!AU66="","",Summary_Products!AU66)</f>
        <v/>
      </c>
      <c r="AV82" s="473" t="str">
        <f>IF(Summary_Products!AV66="","",Summary_Products!AV66)</f>
        <v/>
      </c>
      <c r="AW82" s="474" t="str">
        <f>IF(Summary_Products!AW66="","",Summary_Products!AW66)</f>
        <v/>
      </c>
      <c r="AX82" s="477" t="str">
        <f>IF(Summary_Products!AX66="","",Summary_Products!AX66)</f>
        <v/>
      </c>
      <c r="AY82" s="474" t="str">
        <f>IF(Summary_Products!AY66="","",Summary_Products!AY66)</f>
        <v/>
      </c>
      <c r="AZ82" s="477" t="str">
        <f>IF(Summary_Products!AZ66="","",Summary_Products!AZ66)</f>
        <v/>
      </c>
      <c r="BA82" s="478" t="str">
        <f>IF(Summary_Products!BA66="","",Summary_Products!BA66)</f>
        <v/>
      </c>
      <c r="BD82" s="156"/>
      <c r="BE82" s="156"/>
      <c r="BF82" s="156"/>
      <c r="BG82" s="156"/>
    </row>
    <row r="83" spans="2:59" ht="12.75"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782" t="str">
        <f t="shared" si="0"/>
        <v/>
      </c>
      <c r="Q83" s="160" t="str">
        <f>IF(Summary_Products!P67="","",INDEX(Translations!$C:$C,MATCH(Summary_Products!P67,Translations!$B:$B,0)))</f>
        <v/>
      </c>
      <c r="R83" s="160" t="str">
        <f>IF(Summary_Products!Q67="","",Summary_Products!Q67)</f>
        <v/>
      </c>
      <c r="S83" s="615" t="str">
        <f>IF(Summary_Products!R67="","",Summary_Products!R67)</f>
        <v/>
      </c>
      <c r="T83" s="615" t="str">
        <f>IF(Summary_Products!S67="","",Summary_Products!S67)</f>
        <v/>
      </c>
      <c r="U83" s="615" t="str">
        <f>IF(Summary_Products!T67="","",Summary_Products!T67)</f>
        <v/>
      </c>
      <c r="V83" s="615" t="str">
        <f>IF(Summary_Products!U67="","",Summary_Products!U67)</f>
        <v/>
      </c>
      <c r="W83" s="615" t="str">
        <f>IF(Summary_Products!V67="","",Summary_Products!V67)</f>
        <v/>
      </c>
      <c r="X83" s="615" t="str">
        <f>IF(Summary_Products!W67="","",Summary_Products!W67)</f>
        <v/>
      </c>
      <c r="Y83" s="615" t="str">
        <f>IF(Summary_Products!X67="","",Summary_Products!X67)</f>
        <v/>
      </c>
      <c r="Z83" s="615" t="str">
        <f>IF(Summary_Products!Y67="","",Summary_Products!Y67)</f>
        <v/>
      </c>
      <c r="AA83" s="615" t="str">
        <f>IF(Summary_Products!Z67="","",Summary_Products!Z67)</f>
        <v/>
      </c>
      <c r="AB83" s="615" t="str">
        <f>IF(Summary_Products!AA67="","",Summary_Products!AA67)</f>
        <v/>
      </c>
      <c r="AC83" s="615" t="str">
        <f>IF(Summary_Products!AB67="","",Summary_Products!AB67)</f>
        <v/>
      </c>
      <c r="AD83" s="615" t="str">
        <f>IF(Summary_Products!AC67="","",Summary_Products!AC67)</f>
        <v/>
      </c>
      <c r="AE83" s="615" t="str">
        <f>IF(Summary_Products!AD67="","",Summary_Products!AD67)</f>
        <v/>
      </c>
      <c r="AF83" s="615" t="str">
        <f>IF(Summary_Products!AE67="","",Summary_Products!AE67)</f>
        <v/>
      </c>
      <c r="AG83" s="615" t="str">
        <f>IF(Summary_Products!AF67="","",Summary_Products!AF67)</f>
        <v/>
      </c>
      <c r="AH83" s="615" t="str">
        <f>IF(Summary_Products!AG67="","",Summary_Products!AG67)</f>
        <v/>
      </c>
      <c r="AI83" s="615" t="str">
        <f>IF(Summary_Products!AH67="","",Summary_Products!AH67)</f>
        <v/>
      </c>
      <c r="AJ83" s="615" t="str">
        <f>IF(Summary_Products!AI67="","",Summary_Products!AI67)</f>
        <v/>
      </c>
      <c r="AK83" s="615" t="str">
        <f>IF(Summary_Products!AJ67="","",Summary_Products!AJ67)</f>
        <v/>
      </c>
      <c r="AL83" s="615" t="str">
        <f>IF(Summary_Products!AK67="","",Summary_Products!AK67)</f>
        <v/>
      </c>
      <c r="AM83" s="421" t="str">
        <f>IF(Summary_Products!AL67="","",INDEX(Translations!$C:$C,MATCH(Summary_Products!AL67,Translations!$B:$B,0)))</f>
        <v/>
      </c>
      <c r="AN83" s="615" t="str">
        <f>IF(Summary_Products!AM67="","",Summary_Products!AM67)</f>
        <v/>
      </c>
      <c r="AO83" s="473" t="str">
        <f>IF(Summary_Products!AN67="","",Summary_Products!AN67)</f>
        <v/>
      </c>
      <c r="AP83" s="474" t="str">
        <f>IF(Summary_Products!AO67="","",Summary_Products!AO67)</f>
        <v/>
      </c>
      <c r="AQ83" s="160" t="str">
        <f>IF(Summary_Products!AP67="","",Summary_Products!AP67)</f>
        <v/>
      </c>
      <c r="AR83" s="477" t="str">
        <f>IF(Summary_Products!AR67="","",Summary_Products!AR67)</f>
        <v/>
      </c>
      <c r="AS83" s="474" t="str">
        <f>IF(Summary_Products!AS67="","",Summary_Products!AS67)</f>
        <v/>
      </c>
      <c r="AT83" s="421" t="str">
        <f>IF(Summary_Products!AT67="","",INDEX(Translations!$C:$C,MATCH(Summary_Products!AT67,Translations!$B:$B,0)))</f>
        <v/>
      </c>
      <c r="AU83" s="615" t="str">
        <f>IF(Summary_Products!AU67="","",Summary_Products!AU67)</f>
        <v/>
      </c>
      <c r="AV83" s="473" t="str">
        <f>IF(Summary_Products!AV67="","",Summary_Products!AV67)</f>
        <v/>
      </c>
      <c r="AW83" s="474" t="str">
        <f>IF(Summary_Products!AW67="","",Summary_Products!AW67)</f>
        <v/>
      </c>
      <c r="AX83" s="477" t="str">
        <f>IF(Summary_Products!AX67="","",Summary_Products!AX67)</f>
        <v/>
      </c>
      <c r="AY83" s="474" t="str">
        <f>IF(Summary_Products!AY67="","",Summary_Products!AY67)</f>
        <v/>
      </c>
      <c r="AZ83" s="477" t="str">
        <f>IF(Summary_Products!AZ67="","",Summary_Products!AZ67)</f>
        <v/>
      </c>
      <c r="BA83" s="478" t="str">
        <f>IF(Summary_Products!BA67="","",Summary_Products!BA67)</f>
        <v/>
      </c>
      <c r="BD83" s="156"/>
      <c r="BE83" s="156"/>
      <c r="BF83" s="156"/>
      <c r="BG83" s="156"/>
    </row>
    <row r="84" spans="2:59" ht="12.75"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782" t="str">
        <f t="shared" si="0"/>
        <v/>
      </c>
      <c r="Q84" s="160" t="str">
        <f>IF(Summary_Products!P68="","",INDEX(Translations!$C:$C,MATCH(Summary_Products!P68,Translations!$B:$B,0)))</f>
        <v/>
      </c>
      <c r="R84" s="160" t="str">
        <f>IF(Summary_Products!Q68="","",Summary_Products!Q68)</f>
        <v/>
      </c>
      <c r="S84" s="615" t="str">
        <f>IF(Summary_Products!R68="","",Summary_Products!R68)</f>
        <v/>
      </c>
      <c r="T84" s="615" t="str">
        <f>IF(Summary_Products!S68="","",Summary_Products!S68)</f>
        <v/>
      </c>
      <c r="U84" s="615" t="str">
        <f>IF(Summary_Products!T68="","",Summary_Products!T68)</f>
        <v/>
      </c>
      <c r="V84" s="615" t="str">
        <f>IF(Summary_Products!U68="","",Summary_Products!U68)</f>
        <v/>
      </c>
      <c r="W84" s="615" t="str">
        <f>IF(Summary_Products!V68="","",Summary_Products!V68)</f>
        <v/>
      </c>
      <c r="X84" s="615" t="str">
        <f>IF(Summary_Products!W68="","",Summary_Products!W68)</f>
        <v/>
      </c>
      <c r="Y84" s="615" t="str">
        <f>IF(Summary_Products!X68="","",Summary_Products!X68)</f>
        <v/>
      </c>
      <c r="Z84" s="615" t="str">
        <f>IF(Summary_Products!Y68="","",Summary_Products!Y68)</f>
        <v/>
      </c>
      <c r="AA84" s="615" t="str">
        <f>IF(Summary_Products!Z68="","",Summary_Products!Z68)</f>
        <v/>
      </c>
      <c r="AB84" s="615" t="str">
        <f>IF(Summary_Products!AA68="","",Summary_Products!AA68)</f>
        <v/>
      </c>
      <c r="AC84" s="615" t="str">
        <f>IF(Summary_Products!AB68="","",Summary_Products!AB68)</f>
        <v/>
      </c>
      <c r="AD84" s="615" t="str">
        <f>IF(Summary_Products!AC68="","",Summary_Products!AC68)</f>
        <v/>
      </c>
      <c r="AE84" s="615" t="str">
        <f>IF(Summary_Products!AD68="","",Summary_Products!AD68)</f>
        <v/>
      </c>
      <c r="AF84" s="615" t="str">
        <f>IF(Summary_Products!AE68="","",Summary_Products!AE68)</f>
        <v/>
      </c>
      <c r="AG84" s="615" t="str">
        <f>IF(Summary_Products!AF68="","",Summary_Products!AF68)</f>
        <v/>
      </c>
      <c r="AH84" s="615" t="str">
        <f>IF(Summary_Products!AG68="","",Summary_Products!AG68)</f>
        <v/>
      </c>
      <c r="AI84" s="615" t="str">
        <f>IF(Summary_Products!AH68="","",Summary_Products!AH68)</f>
        <v/>
      </c>
      <c r="AJ84" s="615" t="str">
        <f>IF(Summary_Products!AI68="","",Summary_Products!AI68)</f>
        <v/>
      </c>
      <c r="AK84" s="615" t="str">
        <f>IF(Summary_Products!AJ68="","",Summary_Products!AJ68)</f>
        <v/>
      </c>
      <c r="AL84" s="615" t="str">
        <f>IF(Summary_Products!AK68="","",Summary_Products!AK68)</f>
        <v/>
      </c>
      <c r="AM84" s="421" t="str">
        <f>IF(Summary_Products!AL68="","",INDEX(Translations!$C:$C,MATCH(Summary_Products!AL68,Translations!$B:$B,0)))</f>
        <v/>
      </c>
      <c r="AN84" s="615" t="str">
        <f>IF(Summary_Products!AM68="","",Summary_Products!AM68)</f>
        <v/>
      </c>
      <c r="AO84" s="473" t="str">
        <f>IF(Summary_Products!AN68="","",Summary_Products!AN68)</f>
        <v/>
      </c>
      <c r="AP84" s="474" t="str">
        <f>IF(Summary_Products!AO68="","",Summary_Products!AO68)</f>
        <v/>
      </c>
      <c r="AQ84" s="160" t="str">
        <f>IF(Summary_Products!AP68="","",Summary_Products!AP68)</f>
        <v/>
      </c>
      <c r="AR84" s="477" t="str">
        <f>IF(Summary_Products!AR68="","",Summary_Products!AR68)</f>
        <v/>
      </c>
      <c r="AS84" s="474" t="str">
        <f>IF(Summary_Products!AS68="","",Summary_Products!AS68)</f>
        <v/>
      </c>
      <c r="AT84" s="421" t="str">
        <f>IF(Summary_Products!AT68="","",INDEX(Translations!$C:$C,MATCH(Summary_Products!AT68,Translations!$B:$B,0)))</f>
        <v/>
      </c>
      <c r="AU84" s="615" t="str">
        <f>IF(Summary_Products!AU68="","",Summary_Products!AU68)</f>
        <v/>
      </c>
      <c r="AV84" s="473" t="str">
        <f>IF(Summary_Products!AV68="","",Summary_Products!AV68)</f>
        <v/>
      </c>
      <c r="AW84" s="474" t="str">
        <f>IF(Summary_Products!AW68="","",Summary_Products!AW68)</f>
        <v/>
      </c>
      <c r="AX84" s="477" t="str">
        <f>IF(Summary_Products!AX68="","",Summary_Products!AX68)</f>
        <v/>
      </c>
      <c r="AY84" s="474" t="str">
        <f>IF(Summary_Products!AY68="","",Summary_Products!AY68)</f>
        <v/>
      </c>
      <c r="AZ84" s="477" t="str">
        <f>IF(Summary_Products!AZ68="","",Summary_Products!AZ68)</f>
        <v/>
      </c>
      <c r="BA84" s="478" t="str">
        <f>IF(Summary_Products!BA68="","",Summary_Products!BA68)</f>
        <v/>
      </c>
      <c r="BD84" s="156"/>
      <c r="BE84" s="156"/>
      <c r="BF84" s="156"/>
      <c r="BG84" s="156"/>
    </row>
    <row r="85" spans="2:59" ht="12.75"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782" t="str">
        <f t="shared" si="0"/>
        <v/>
      </c>
      <c r="Q85" s="160" t="str">
        <f>IF(Summary_Products!P69="","",INDEX(Translations!$C:$C,MATCH(Summary_Products!P69,Translations!$B:$B,0)))</f>
        <v/>
      </c>
      <c r="R85" s="160" t="str">
        <f>IF(Summary_Products!Q69="","",Summary_Products!Q69)</f>
        <v/>
      </c>
      <c r="S85" s="615" t="str">
        <f>IF(Summary_Products!R69="","",Summary_Products!R69)</f>
        <v/>
      </c>
      <c r="T85" s="615" t="str">
        <f>IF(Summary_Products!S69="","",Summary_Products!S69)</f>
        <v/>
      </c>
      <c r="U85" s="615" t="str">
        <f>IF(Summary_Products!T69="","",Summary_Products!T69)</f>
        <v/>
      </c>
      <c r="V85" s="615" t="str">
        <f>IF(Summary_Products!U69="","",Summary_Products!U69)</f>
        <v/>
      </c>
      <c r="W85" s="615" t="str">
        <f>IF(Summary_Products!V69="","",Summary_Products!V69)</f>
        <v/>
      </c>
      <c r="X85" s="615" t="str">
        <f>IF(Summary_Products!W69="","",Summary_Products!W69)</f>
        <v/>
      </c>
      <c r="Y85" s="615" t="str">
        <f>IF(Summary_Products!X69="","",Summary_Products!X69)</f>
        <v/>
      </c>
      <c r="Z85" s="615" t="str">
        <f>IF(Summary_Products!Y69="","",Summary_Products!Y69)</f>
        <v/>
      </c>
      <c r="AA85" s="615" t="str">
        <f>IF(Summary_Products!Z69="","",Summary_Products!Z69)</f>
        <v/>
      </c>
      <c r="AB85" s="615" t="str">
        <f>IF(Summary_Products!AA69="","",Summary_Products!AA69)</f>
        <v/>
      </c>
      <c r="AC85" s="615" t="str">
        <f>IF(Summary_Products!AB69="","",Summary_Products!AB69)</f>
        <v/>
      </c>
      <c r="AD85" s="615" t="str">
        <f>IF(Summary_Products!AC69="","",Summary_Products!AC69)</f>
        <v/>
      </c>
      <c r="AE85" s="615" t="str">
        <f>IF(Summary_Products!AD69="","",Summary_Products!AD69)</f>
        <v/>
      </c>
      <c r="AF85" s="615" t="str">
        <f>IF(Summary_Products!AE69="","",Summary_Products!AE69)</f>
        <v/>
      </c>
      <c r="AG85" s="615" t="str">
        <f>IF(Summary_Products!AF69="","",Summary_Products!AF69)</f>
        <v/>
      </c>
      <c r="AH85" s="615" t="str">
        <f>IF(Summary_Products!AG69="","",Summary_Products!AG69)</f>
        <v/>
      </c>
      <c r="AI85" s="615" t="str">
        <f>IF(Summary_Products!AH69="","",Summary_Products!AH69)</f>
        <v/>
      </c>
      <c r="AJ85" s="615" t="str">
        <f>IF(Summary_Products!AI69="","",Summary_Products!AI69)</f>
        <v/>
      </c>
      <c r="AK85" s="615" t="str">
        <f>IF(Summary_Products!AJ69="","",Summary_Products!AJ69)</f>
        <v/>
      </c>
      <c r="AL85" s="615" t="str">
        <f>IF(Summary_Products!AK69="","",Summary_Products!AK69)</f>
        <v/>
      </c>
      <c r="AM85" s="421" t="str">
        <f>IF(Summary_Products!AL69="","",INDEX(Translations!$C:$C,MATCH(Summary_Products!AL69,Translations!$B:$B,0)))</f>
        <v/>
      </c>
      <c r="AN85" s="615" t="str">
        <f>IF(Summary_Products!AM69="","",Summary_Products!AM69)</f>
        <v/>
      </c>
      <c r="AO85" s="473" t="str">
        <f>IF(Summary_Products!AN69="","",Summary_Products!AN69)</f>
        <v/>
      </c>
      <c r="AP85" s="474" t="str">
        <f>IF(Summary_Products!AO69="","",Summary_Products!AO69)</f>
        <v/>
      </c>
      <c r="AQ85" s="160" t="str">
        <f>IF(Summary_Products!AP69="","",Summary_Products!AP69)</f>
        <v/>
      </c>
      <c r="AR85" s="477" t="str">
        <f>IF(Summary_Products!AR69="","",Summary_Products!AR69)</f>
        <v/>
      </c>
      <c r="AS85" s="474" t="str">
        <f>IF(Summary_Products!AS69="","",Summary_Products!AS69)</f>
        <v/>
      </c>
      <c r="AT85" s="421" t="str">
        <f>IF(Summary_Products!AT69="","",INDEX(Translations!$C:$C,MATCH(Summary_Products!AT69,Translations!$B:$B,0)))</f>
        <v/>
      </c>
      <c r="AU85" s="615" t="str">
        <f>IF(Summary_Products!AU69="","",Summary_Products!AU69)</f>
        <v/>
      </c>
      <c r="AV85" s="473" t="str">
        <f>IF(Summary_Products!AV69="","",Summary_Products!AV69)</f>
        <v/>
      </c>
      <c r="AW85" s="474" t="str">
        <f>IF(Summary_Products!AW69="","",Summary_Products!AW69)</f>
        <v/>
      </c>
      <c r="AX85" s="477" t="str">
        <f>IF(Summary_Products!AX69="","",Summary_Products!AX69)</f>
        <v/>
      </c>
      <c r="AY85" s="474" t="str">
        <f>IF(Summary_Products!AY69="","",Summary_Products!AY69)</f>
        <v/>
      </c>
      <c r="AZ85" s="477" t="str">
        <f>IF(Summary_Products!AZ69="","",Summary_Products!AZ69)</f>
        <v/>
      </c>
      <c r="BA85" s="478" t="str">
        <f>IF(Summary_Products!BA69="","",Summary_Products!BA69)</f>
        <v/>
      </c>
      <c r="BD85" s="156"/>
      <c r="BE85" s="156"/>
      <c r="BF85" s="156"/>
      <c r="BG85" s="156"/>
    </row>
    <row r="86" spans="2:59" ht="12.75"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782" t="str">
        <f t="shared" si="0"/>
        <v/>
      </c>
      <c r="Q86" s="160" t="str">
        <f>IF(Summary_Products!P70="","",INDEX(Translations!$C:$C,MATCH(Summary_Products!P70,Translations!$B:$B,0)))</f>
        <v/>
      </c>
      <c r="R86" s="160" t="str">
        <f>IF(Summary_Products!Q70="","",Summary_Products!Q70)</f>
        <v/>
      </c>
      <c r="S86" s="615" t="str">
        <f>IF(Summary_Products!R70="","",Summary_Products!R70)</f>
        <v/>
      </c>
      <c r="T86" s="615" t="str">
        <f>IF(Summary_Products!S70="","",Summary_Products!S70)</f>
        <v/>
      </c>
      <c r="U86" s="615" t="str">
        <f>IF(Summary_Products!T70="","",Summary_Products!T70)</f>
        <v/>
      </c>
      <c r="V86" s="615" t="str">
        <f>IF(Summary_Products!U70="","",Summary_Products!U70)</f>
        <v/>
      </c>
      <c r="W86" s="615" t="str">
        <f>IF(Summary_Products!V70="","",Summary_Products!V70)</f>
        <v/>
      </c>
      <c r="X86" s="615" t="str">
        <f>IF(Summary_Products!W70="","",Summary_Products!W70)</f>
        <v/>
      </c>
      <c r="Y86" s="615" t="str">
        <f>IF(Summary_Products!X70="","",Summary_Products!X70)</f>
        <v/>
      </c>
      <c r="Z86" s="615" t="str">
        <f>IF(Summary_Products!Y70="","",Summary_Products!Y70)</f>
        <v/>
      </c>
      <c r="AA86" s="615" t="str">
        <f>IF(Summary_Products!Z70="","",Summary_Products!Z70)</f>
        <v/>
      </c>
      <c r="AB86" s="615" t="str">
        <f>IF(Summary_Products!AA70="","",Summary_Products!AA70)</f>
        <v/>
      </c>
      <c r="AC86" s="615" t="str">
        <f>IF(Summary_Products!AB70="","",Summary_Products!AB70)</f>
        <v/>
      </c>
      <c r="AD86" s="615" t="str">
        <f>IF(Summary_Products!AC70="","",Summary_Products!AC70)</f>
        <v/>
      </c>
      <c r="AE86" s="615" t="str">
        <f>IF(Summary_Products!AD70="","",Summary_Products!AD70)</f>
        <v/>
      </c>
      <c r="AF86" s="615" t="str">
        <f>IF(Summary_Products!AE70="","",Summary_Products!AE70)</f>
        <v/>
      </c>
      <c r="AG86" s="615" t="str">
        <f>IF(Summary_Products!AF70="","",Summary_Products!AF70)</f>
        <v/>
      </c>
      <c r="AH86" s="615" t="str">
        <f>IF(Summary_Products!AG70="","",Summary_Products!AG70)</f>
        <v/>
      </c>
      <c r="AI86" s="615" t="str">
        <f>IF(Summary_Products!AH70="","",Summary_Products!AH70)</f>
        <v/>
      </c>
      <c r="AJ86" s="615" t="str">
        <f>IF(Summary_Products!AI70="","",Summary_Products!AI70)</f>
        <v/>
      </c>
      <c r="AK86" s="615" t="str">
        <f>IF(Summary_Products!AJ70="","",Summary_Products!AJ70)</f>
        <v/>
      </c>
      <c r="AL86" s="615" t="str">
        <f>IF(Summary_Products!AK70="","",Summary_Products!AK70)</f>
        <v/>
      </c>
      <c r="AM86" s="421" t="str">
        <f>IF(Summary_Products!AL70="","",INDEX(Translations!$C:$C,MATCH(Summary_Products!AL70,Translations!$B:$B,0)))</f>
        <v/>
      </c>
      <c r="AN86" s="615" t="str">
        <f>IF(Summary_Products!AM70="","",Summary_Products!AM70)</f>
        <v/>
      </c>
      <c r="AO86" s="473" t="str">
        <f>IF(Summary_Products!AN70="","",Summary_Products!AN70)</f>
        <v/>
      </c>
      <c r="AP86" s="474" t="str">
        <f>IF(Summary_Products!AO70="","",Summary_Products!AO70)</f>
        <v/>
      </c>
      <c r="AQ86" s="160" t="str">
        <f>IF(Summary_Products!AP70="","",Summary_Products!AP70)</f>
        <v/>
      </c>
      <c r="AR86" s="477" t="str">
        <f>IF(Summary_Products!AR70="","",Summary_Products!AR70)</f>
        <v/>
      </c>
      <c r="AS86" s="474" t="str">
        <f>IF(Summary_Products!AS70="","",Summary_Products!AS70)</f>
        <v/>
      </c>
      <c r="AT86" s="421" t="str">
        <f>IF(Summary_Products!AT70="","",INDEX(Translations!$C:$C,MATCH(Summary_Products!AT70,Translations!$B:$B,0)))</f>
        <v/>
      </c>
      <c r="AU86" s="615" t="str">
        <f>IF(Summary_Products!AU70="","",Summary_Products!AU70)</f>
        <v/>
      </c>
      <c r="AV86" s="473" t="str">
        <f>IF(Summary_Products!AV70="","",Summary_Products!AV70)</f>
        <v/>
      </c>
      <c r="AW86" s="474" t="str">
        <f>IF(Summary_Products!AW70="","",Summary_Products!AW70)</f>
        <v/>
      </c>
      <c r="AX86" s="477" t="str">
        <f>IF(Summary_Products!AX70="","",Summary_Products!AX70)</f>
        <v/>
      </c>
      <c r="AY86" s="474" t="str">
        <f>IF(Summary_Products!AY70="","",Summary_Products!AY70)</f>
        <v/>
      </c>
      <c r="AZ86" s="477" t="str">
        <f>IF(Summary_Products!AZ70="","",Summary_Products!AZ70)</f>
        <v/>
      </c>
      <c r="BA86" s="478" t="str">
        <f>IF(Summary_Products!BA70="","",Summary_Products!BA70)</f>
        <v/>
      </c>
      <c r="BD86" s="156"/>
      <c r="BE86" s="156"/>
      <c r="BF86" s="156"/>
      <c r="BG86" s="156"/>
    </row>
    <row r="87" spans="2:59" ht="12.75"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782" t="str">
        <f t="shared" si="0"/>
        <v/>
      </c>
      <c r="Q87" s="160" t="str">
        <f>IF(Summary_Products!P71="","",INDEX(Translations!$C:$C,MATCH(Summary_Products!P71,Translations!$B:$B,0)))</f>
        <v/>
      </c>
      <c r="R87" s="160" t="str">
        <f>IF(Summary_Products!Q71="","",Summary_Products!Q71)</f>
        <v/>
      </c>
      <c r="S87" s="615" t="str">
        <f>IF(Summary_Products!R71="","",Summary_Products!R71)</f>
        <v/>
      </c>
      <c r="T87" s="615" t="str">
        <f>IF(Summary_Products!S71="","",Summary_Products!S71)</f>
        <v/>
      </c>
      <c r="U87" s="615" t="str">
        <f>IF(Summary_Products!T71="","",Summary_Products!T71)</f>
        <v/>
      </c>
      <c r="V87" s="615" t="str">
        <f>IF(Summary_Products!U71="","",Summary_Products!U71)</f>
        <v/>
      </c>
      <c r="W87" s="615" t="str">
        <f>IF(Summary_Products!V71="","",Summary_Products!V71)</f>
        <v/>
      </c>
      <c r="X87" s="615" t="str">
        <f>IF(Summary_Products!W71="","",Summary_Products!W71)</f>
        <v/>
      </c>
      <c r="Y87" s="615" t="str">
        <f>IF(Summary_Products!X71="","",Summary_Products!X71)</f>
        <v/>
      </c>
      <c r="Z87" s="615" t="str">
        <f>IF(Summary_Products!Y71="","",Summary_Products!Y71)</f>
        <v/>
      </c>
      <c r="AA87" s="615" t="str">
        <f>IF(Summary_Products!Z71="","",Summary_Products!Z71)</f>
        <v/>
      </c>
      <c r="AB87" s="615" t="str">
        <f>IF(Summary_Products!AA71="","",Summary_Products!AA71)</f>
        <v/>
      </c>
      <c r="AC87" s="615" t="str">
        <f>IF(Summary_Products!AB71="","",Summary_Products!AB71)</f>
        <v/>
      </c>
      <c r="AD87" s="615" t="str">
        <f>IF(Summary_Products!AC71="","",Summary_Products!AC71)</f>
        <v/>
      </c>
      <c r="AE87" s="615" t="str">
        <f>IF(Summary_Products!AD71="","",Summary_Products!AD71)</f>
        <v/>
      </c>
      <c r="AF87" s="615" t="str">
        <f>IF(Summary_Products!AE71="","",Summary_Products!AE71)</f>
        <v/>
      </c>
      <c r="AG87" s="615" t="str">
        <f>IF(Summary_Products!AF71="","",Summary_Products!AF71)</f>
        <v/>
      </c>
      <c r="AH87" s="615" t="str">
        <f>IF(Summary_Products!AG71="","",Summary_Products!AG71)</f>
        <v/>
      </c>
      <c r="AI87" s="615" t="str">
        <f>IF(Summary_Products!AH71="","",Summary_Products!AH71)</f>
        <v/>
      </c>
      <c r="AJ87" s="615" t="str">
        <f>IF(Summary_Products!AI71="","",Summary_Products!AI71)</f>
        <v/>
      </c>
      <c r="AK87" s="615" t="str">
        <f>IF(Summary_Products!AJ71="","",Summary_Products!AJ71)</f>
        <v/>
      </c>
      <c r="AL87" s="615" t="str">
        <f>IF(Summary_Products!AK71="","",Summary_Products!AK71)</f>
        <v/>
      </c>
      <c r="AM87" s="421" t="str">
        <f>IF(Summary_Products!AL71="","",INDEX(Translations!$C:$C,MATCH(Summary_Products!AL71,Translations!$B:$B,0)))</f>
        <v/>
      </c>
      <c r="AN87" s="615" t="str">
        <f>IF(Summary_Products!AM71="","",Summary_Products!AM71)</f>
        <v/>
      </c>
      <c r="AO87" s="473" t="str">
        <f>IF(Summary_Products!AN71="","",Summary_Products!AN71)</f>
        <v/>
      </c>
      <c r="AP87" s="474" t="str">
        <f>IF(Summary_Products!AO71="","",Summary_Products!AO71)</f>
        <v/>
      </c>
      <c r="AQ87" s="160" t="str">
        <f>IF(Summary_Products!AP71="","",Summary_Products!AP71)</f>
        <v/>
      </c>
      <c r="AR87" s="477" t="str">
        <f>IF(Summary_Products!AR71="","",Summary_Products!AR71)</f>
        <v/>
      </c>
      <c r="AS87" s="474" t="str">
        <f>IF(Summary_Products!AS71="","",Summary_Products!AS71)</f>
        <v/>
      </c>
      <c r="AT87" s="421" t="str">
        <f>IF(Summary_Products!AT71="","",INDEX(Translations!$C:$C,MATCH(Summary_Products!AT71,Translations!$B:$B,0)))</f>
        <v/>
      </c>
      <c r="AU87" s="615" t="str">
        <f>IF(Summary_Products!AU71="","",Summary_Products!AU71)</f>
        <v/>
      </c>
      <c r="AV87" s="473" t="str">
        <f>IF(Summary_Products!AV71="","",Summary_Products!AV71)</f>
        <v/>
      </c>
      <c r="AW87" s="474" t="str">
        <f>IF(Summary_Products!AW71="","",Summary_Products!AW71)</f>
        <v/>
      </c>
      <c r="AX87" s="477" t="str">
        <f>IF(Summary_Products!AX71="","",Summary_Products!AX71)</f>
        <v/>
      </c>
      <c r="AY87" s="474" t="str">
        <f>IF(Summary_Products!AY71="","",Summary_Products!AY71)</f>
        <v/>
      </c>
      <c r="AZ87" s="477" t="str">
        <f>IF(Summary_Products!AZ71="","",Summary_Products!AZ71)</f>
        <v/>
      </c>
      <c r="BA87" s="478" t="str">
        <f>IF(Summary_Products!BA71="","",Summary_Products!BA71)</f>
        <v/>
      </c>
      <c r="BD87" s="156"/>
      <c r="BE87" s="156"/>
      <c r="BF87" s="156"/>
      <c r="BG87" s="156"/>
    </row>
    <row r="88" spans="2:59" ht="12.75"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782" t="str">
        <f t="shared" si="0"/>
        <v/>
      </c>
      <c r="Q88" s="160" t="str">
        <f>IF(Summary_Products!P72="","",INDEX(Translations!$C:$C,MATCH(Summary_Products!P72,Translations!$B:$B,0)))</f>
        <v/>
      </c>
      <c r="R88" s="160" t="str">
        <f>IF(Summary_Products!Q72="","",Summary_Products!Q72)</f>
        <v/>
      </c>
      <c r="S88" s="615" t="str">
        <f>IF(Summary_Products!R72="","",Summary_Products!R72)</f>
        <v/>
      </c>
      <c r="T88" s="615" t="str">
        <f>IF(Summary_Products!S72="","",Summary_Products!S72)</f>
        <v/>
      </c>
      <c r="U88" s="615" t="str">
        <f>IF(Summary_Products!T72="","",Summary_Products!T72)</f>
        <v/>
      </c>
      <c r="V88" s="615" t="str">
        <f>IF(Summary_Products!U72="","",Summary_Products!U72)</f>
        <v/>
      </c>
      <c r="W88" s="615" t="str">
        <f>IF(Summary_Products!V72="","",Summary_Products!V72)</f>
        <v/>
      </c>
      <c r="X88" s="615" t="str">
        <f>IF(Summary_Products!W72="","",Summary_Products!W72)</f>
        <v/>
      </c>
      <c r="Y88" s="615" t="str">
        <f>IF(Summary_Products!X72="","",Summary_Products!X72)</f>
        <v/>
      </c>
      <c r="Z88" s="615" t="str">
        <f>IF(Summary_Products!Y72="","",Summary_Products!Y72)</f>
        <v/>
      </c>
      <c r="AA88" s="615" t="str">
        <f>IF(Summary_Products!Z72="","",Summary_Products!Z72)</f>
        <v/>
      </c>
      <c r="AB88" s="615" t="str">
        <f>IF(Summary_Products!AA72="","",Summary_Products!AA72)</f>
        <v/>
      </c>
      <c r="AC88" s="615" t="str">
        <f>IF(Summary_Products!AB72="","",Summary_Products!AB72)</f>
        <v/>
      </c>
      <c r="AD88" s="615" t="str">
        <f>IF(Summary_Products!AC72="","",Summary_Products!AC72)</f>
        <v/>
      </c>
      <c r="AE88" s="615" t="str">
        <f>IF(Summary_Products!AD72="","",Summary_Products!AD72)</f>
        <v/>
      </c>
      <c r="AF88" s="615" t="str">
        <f>IF(Summary_Products!AE72="","",Summary_Products!AE72)</f>
        <v/>
      </c>
      <c r="AG88" s="615" t="str">
        <f>IF(Summary_Products!AF72="","",Summary_Products!AF72)</f>
        <v/>
      </c>
      <c r="AH88" s="615" t="str">
        <f>IF(Summary_Products!AG72="","",Summary_Products!AG72)</f>
        <v/>
      </c>
      <c r="AI88" s="615" t="str">
        <f>IF(Summary_Products!AH72="","",Summary_Products!AH72)</f>
        <v/>
      </c>
      <c r="AJ88" s="615" t="str">
        <f>IF(Summary_Products!AI72="","",Summary_Products!AI72)</f>
        <v/>
      </c>
      <c r="AK88" s="615" t="str">
        <f>IF(Summary_Products!AJ72="","",Summary_Products!AJ72)</f>
        <v/>
      </c>
      <c r="AL88" s="615" t="str">
        <f>IF(Summary_Products!AK72="","",Summary_Products!AK72)</f>
        <v/>
      </c>
      <c r="AM88" s="421" t="str">
        <f>IF(Summary_Products!AL72="","",INDEX(Translations!$C:$C,MATCH(Summary_Products!AL72,Translations!$B:$B,0)))</f>
        <v/>
      </c>
      <c r="AN88" s="615" t="str">
        <f>IF(Summary_Products!AM72="","",Summary_Products!AM72)</f>
        <v/>
      </c>
      <c r="AO88" s="473" t="str">
        <f>IF(Summary_Products!AN72="","",Summary_Products!AN72)</f>
        <v/>
      </c>
      <c r="AP88" s="474" t="str">
        <f>IF(Summary_Products!AO72="","",Summary_Products!AO72)</f>
        <v/>
      </c>
      <c r="AQ88" s="160" t="str">
        <f>IF(Summary_Products!AP72="","",Summary_Products!AP72)</f>
        <v/>
      </c>
      <c r="AR88" s="477" t="str">
        <f>IF(Summary_Products!AR72="","",Summary_Products!AR72)</f>
        <v/>
      </c>
      <c r="AS88" s="474" t="str">
        <f>IF(Summary_Products!AS72="","",Summary_Products!AS72)</f>
        <v/>
      </c>
      <c r="AT88" s="421" t="str">
        <f>IF(Summary_Products!AT72="","",INDEX(Translations!$C:$C,MATCH(Summary_Products!AT72,Translations!$B:$B,0)))</f>
        <v/>
      </c>
      <c r="AU88" s="615" t="str">
        <f>IF(Summary_Products!AU72="","",Summary_Products!AU72)</f>
        <v/>
      </c>
      <c r="AV88" s="473" t="str">
        <f>IF(Summary_Products!AV72="","",Summary_Products!AV72)</f>
        <v/>
      </c>
      <c r="AW88" s="474" t="str">
        <f>IF(Summary_Products!AW72="","",Summary_Products!AW72)</f>
        <v/>
      </c>
      <c r="AX88" s="477" t="str">
        <f>IF(Summary_Products!AX72="","",Summary_Products!AX72)</f>
        <v/>
      </c>
      <c r="AY88" s="474" t="str">
        <f>IF(Summary_Products!AY72="","",Summary_Products!AY72)</f>
        <v/>
      </c>
      <c r="AZ88" s="477" t="str">
        <f>IF(Summary_Products!AZ72="","",Summary_Products!AZ72)</f>
        <v/>
      </c>
      <c r="BA88" s="478" t="str">
        <f>IF(Summary_Products!BA72="","",Summary_Products!BA72)</f>
        <v/>
      </c>
      <c r="BD88" s="156"/>
      <c r="BE88" s="156"/>
      <c r="BF88" s="156"/>
      <c r="BG88" s="156"/>
    </row>
    <row r="89" spans="2:59" ht="12.75"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782" t="str">
        <f t="shared" si="0"/>
        <v/>
      </c>
      <c r="Q89" s="160" t="str">
        <f>IF(Summary_Products!P73="","",INDEX(Translations!$C:$C,MATCH(Summary_Products!P73,Translations!$B:$B,0)))</f>
        <v/>
      </c>
      <c r="R89" s="160" t="str">
        <f>IF(Summary_Products!Q73="","",Summary_Products!Q73)</f>
        <v/>
      </c>
      <c r="S89" s="615" t="str">
        <f>IF(Summary_Products!R73="","",Summary_Products!R73)</f>
        <v/>
      </c>
      <c r="T89" s="615" t="str">
        <f>IF(Summary_Products!S73="","",Summary_Products!S73)</f>
        <v/>
      </c>
      <c r="U89" s="615" t="str">
        <f>IF(Summary_Products!T73="","",Summary_Products!T73)</f>
        <v/>
      </c>
      <c r="V89" s="615" t="str">
        <f>IF(Summary_Products!U73="","",Summary_Products!U73)</f>
        <v/>
      </c>
      <c r="W89" s="615" t="str">
        <f>IF(Summary_Products!V73="","",Summary_Products!V73)</f>
        <v/>
      </c>
      <c r="X89" s="615" t="str">
        <f>IF(Summary_Products!W73="","",Summary_Products!W73)</f>
        <v/>
      </c>
      <c r="Y89" s="615" t="str">
        <f>IF(Summary_Products!X73="","",Summary_Products!X73)</f>
        <v/>
      </c>
      <c r="Z89" s="615" t="str">
        <f>IF(Summary_Products!Y73="","",Summary_Products!Y73)</f>
        <v/>
      </c>
      <c r="AA89" s="615" t="str">
        <f>IF(Summary_Products!Z73="","",Summary_Products!Z73)</f>
        <v/>
      </c>
      <c r="AB89" s="615" t="str">
        <f>IF(Summary_Products!AA73="","",Summary_Products!AA73)</f>
        <v/>
      </c>
      <c r="AC89" s="615" t="str">
        <f>IF(Summary_Products!AB73="","",Summary_Products!AB73)</f>
        <v/>
      </c>
      <c r="AD89" s="615" t="str">
        <f>IF(Summary_Products!AC73="","",Summary_Products!AC73)</f>
        <v/>
      </c>
      <c r="AE89" s="615" t="str">
        <f>IF(Summary_Products!AD73="","",Summary_Products!AD73)</f>
        <v/>
      </c>
      <c r="AF89" s="615" t="str">
        <f>IF(Summary_Products!AE73="","",Summary_Products!AE73)</f>
        <v/>
      </c>
      <c r="AG89" s="615" t="str">
        <f>IF(Summary_Products!AF73="","",Summary_Products!AF73)</f>
        <v/>
      </c>
      <c r="AH89" s="615" t="str">
        <f>IF(Summary_Products!AG73="","",Summary_Products!AG73)</f>
        <v/>
      </c>
      <c r="AI89" s="615" t="str">
        <f>IF(Summary_Products!AH73="","",Summary_Products!AH73)</f>
        <v/>
      </c>
      <c r="AJ89" s="615" t="str">
        <f>IF(Summary_Products!AI73="","",Summary_Products!AI73)</f>
        <v/>
      </c>
      <c r="AK89" s="615" t="str">
        <f>IF(Summary_Products!AJ73="","",Summary_Products!AJ73)</f>
        <v/>
      </c>
      <c r="AL89" s="615" t="str">
        <f>IF(Summary_Products!AK73="","",Summary_Products!AK73)</f>
        <v/>
      </c>
      <c r="AM89" s="421" t="str">
        <f>IF(Summary_Products!AL73="","",INDEX(Translations!$C:$C,MATCH(Summary_Products!AL73,Translations!$B:$B,0)))</f>
        <v/>
      </c>
      <c r="AN89" s="615" t="str">
        <f>IF(Summary_Products!AM73="","",Summary_Products!AM73)</f>
        <v/>
      </c>
      <c r="AO89" s="473" t="str">
        <f>IF(Summary_Products!AN73="","",Summary_Products!AN73)</f>
        <v/>
      </c>
      <c r="AP89" s="474" t="str">
        <f>IF(Summary_Products!AO73="","",Summary_Products!AO73)</f>
        <v/>
      </c>
      <c r="AQ89" s="160" t="str">
        <f>IF(Summary_Products!AP73="","",Summary_Products!AP73)</f>
        <v/>
      </c>
      <c r="AR89" s="477" t="str">
        <f>IF(Summary_Products!AR73="","",Summary_Products!AR73)</f>
        <v/>
      </c>
      <c r="AS89" s="474" t="str">
        <f>IF(Summary_Products!AS73="","",Summary_Products!AS73)</f>
        <v/>
      </c>
      <c r="AT89" s="421" t="str">
        <f>IF(Summary_Products!AT73="","",INDEX(Translations!$C:$C,MATCH(Summary_Products!AT73,Translations!$B:$B,0)))</f>
        <v/>
      </c>
      <c r="AU89" s="615" t="str">
        <f>IF(Summary_Products!AU73="","",Summary_Products!AU73)</f>
        <v/>
      </c>
      <c r="AV89" s="473" t="str">
        <f>IF(Summary_Products!AV73="","",Summary_Products!AV73)</f>
        <v/>
      </c>
      <c r="AW89" s="474" t="str">
        <f>IF(Summary_Products!AW73="","",Summary_Products!AW73)</f>
        <v/>
      </c>
      <c r="AX89" s="477" t="str">
        <f>IF(Summary_Products!AX73="","",Summary_Products!AX73)</f>
        <v/>
      </c>
      <c r="AY89" s="474" t="str">
        <f>IF(Summary_Products!AY73="","",Summary_Products!AY73)</f>
        <v/>
      </c>
      <c r="AZ89" s="477" t="str">
        <f>IF(Summary_Products!AZ73="","",Summary_Products!AZ73)</f>
        <v/>
      </c>
      <c r="BA89" s="478" t="str">
        <f>IF(Summary_Products!BA73="","",Summary_Products!BA73)</f>
        <v/>
      </c>
      <c r="BD89" s="156"/>
      <c r="BE89" s="156"/>
      <c r="BF89" s="156"/>
      <c r="BG89" s="156"/>
    </row>
    <row r="90" spans="2:59" ht="12.75"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782" t="str">
        <f t="shared" si="0"/>
        <v/>
      </c>
      <c r="Q90" s="160" t="str">
        <f>IF(Summary_Products!P74="","",INDEX(Translations!$C:$C,MATCH(Summary_Products!P74,Translations!$B:$B,0)))</f>
        <v/>
      </c>
      <c r="R90" s="160" t="str">
        <f>IF(Summary_Products!Q74="","",Summary_Products!Q74)</f>
        <v/>
      </c>
      <c r="S90" s="615" t="str">
        <f>IF(Summary_Products!R74="","",Summary_Products!R74)</f>
        <v/>
      </c>
      <c r="T90" s="615" t="str">
        <f>IF(Summary_Products!S74="","",Summary_Products!S74)</f>
        <v/>
      </c>
      <c r="U90" s="615" t="str">
        <f>IF(Summary_Products!T74="","",Summary_Products!T74)</f>
        <v/>
      </c>
      <c r="V90" s="615" t="str">
        <f>IF(Summary_Products!U74="","",Summary_Products!U74)</f>
        <v/>
      </c>
      <c r="W90" s="615" t="str">
        <f>IF(Summary_Products!V74="","",Summary_Products!V74)</f>
        <v/>
      </c>
      <c r="X90" s="615" t="str">
        <f>IF(Summary_Products!W74="","",Summary_Products!W74)</f>
        <v/>
      </c>
      <c r="Y90" s="615" t="str">
        <f>IF(Summary_Products!X74="","",Summary_Products!X74)</f>
        <v/>
      </c>
      <c r="Z90" s="615" t="str">
        <f>IF(Summary_Products!Y74="","",Summary_Products!Y74)</f>
        <v/>
      </c>
      <c r="AA90" s="615" t="str">
        <f>IF(Summary_Products!Z74="","",Summary_Products!Z74)</f>
        <v/>
      </c>
      <c r="AB90" s="615" t="str">
        <f>IF(Summary_Products!AA74="","",Summary_Products!AA74)</f>
        <v/>
      </c>
      <c r="AC90" s="615" t="str">
        <f>IF(Summary_Products!AB74="","",Summary_Products!AB74)</f>
        <v/>
      </c>
      <c r="AD90" s="615" t="str">
        <f>IF(Summary_Products!AC74="","",Summary_Products!AC74)</f>
        <v/>
      </c>
      <c r="AE90" s="615" t="str">
        <f>IF(Summary_Products!AD74="","",Summary_Products!AD74)</f>
        <v/>
      </c>
      <c r="AF90" s="615" t="str">
        <f>IF(Summary_Products!AE74="","",Summary_Products!AE74)</f>
        <v/>
      </c>
      <c r="AG90" s="615" t="str">
        <f>IF(Summary_Products!AF74="","",Summary_Products!AF74)</f>
        <v/>
      </c>
      <c r="AH90" s="615" t="str">
        <f>IF(Summary_Products!AG74="","",Summary_Products!AG74)</f>
        <v/>
      </c>
      <c r="AI90" s="615" t="str">
        <f>IF(Summary_Products!AH74="","",Summary_Products!AH74)</f>
        <v/>
      </c>
      <c r="AJ90" s="615" t="str">
        <f>IF(Summary_Products!AI74="","",Summary_Products!AI74)</f>
        <v/>
      </c>
      <c r="AK90" s="615" t="str">
        <f>IF(Summary_Products!AJ74="","",Summary_Products!AJ74)</f>
        <v/>
      </c>
      <c r="AL90" s="615" t="str">
        <f>IF(Summary_Products!AK74="","",Summary_Products!AK74)</f>
        <v/>
      </c>
      <c r="AM90" s="421" t="str">
        <f>IF(Summary_Products!AL74="","",INDEX(Translations!$C:$C,MATCH(Summary_Products!AL74,Translations!$B:$B,0)))</f>
        <v/>
      </c>
      <c r="AN90" s="615" t="str">
        <f>IF(Summary_Products!AM74="","",Summary_Products!AM74)</f>
        <v/>
      </c>
      <c r="AO90" s="473" t="str">
        <f>IF(Summary_Products!AN74="","",Summary_Products!AN74)</f>
        <v/>
      </c>
      <c r="AP90" s="474" t="str">
        <f>IF(Summary_Products!AO74="","",Summary_Products!AO74)</f>
        <v/>
      </c>
      <c r="AQ90" s="160" t="str">
        <f>IF(Summary_Products!AP74="","",Summary_Products!AP74)</f>
        <v/>
      </c>
      <c r="AR90" s="477" t="str">
        <f>IF(Summary_Products!AR74="","",Summary_Products!AR74)</f>
        <v/>
      </c>
      <c r="AS90" s="474" t="str">
        <f>IF(Summary_Products!AS74="","",Summary_Products!AS74)</f>
        <v/>
      </c>
      <c r="AT90" s="421" t="str">
        <f>IF(Summary_Products!AT74="","",INDEX(Translations!$C:$C,MATCH(Summary_Products!AT74,Translations!$B:$B,0)))</f>
        <v/>
      </c>
      <c r="AU90" s="615" t="str">
        <f>IF(Summary_Products!AU74="","",Summary_Products!AU74)</f>
        <v/>
      </c>
      <c r="AV90" s="473" t="str">
        <f>IF(Summary_Products!AV74="","",Summary_Products!AV74)</f>
        <v/>
      </c>
      <c r="AW90" s="474" t="str">
        <f>IF(Summary_Products!AW74="","",Summary_Products!AW74)</f>
        <v/>
      </c>
      <c r="AX90" s="477" t="str">
        <f>IF(Summary_Products!AX74="","",Summary_Products!AX74)</f>
        <v/>
      </c>
      <c r="AY90" s="474" t="str">
        <f>IF(Summary_Products!AY74="","",Summary_Products!AY74)</f>
        <v/>
      </c>
      <c r="AZ90" s="477" t="str">
        <f>IF(Summary_Products!AZ74="","",Summary_Products!AZ74)</f>
        <v/>
      </c>
      <c r="BA90" s="478" t="str">
        <f>IF(Summary_Products!BA74="","",Summary_Products!BA74)</f>
        <v/>
      </c>
      <c r="BD90" s="156"/>
      <c r="BE90" s="156"/>
      <c r="BF90" s="156"/>
      <c r="BG90" s="156"/>
    </row>
    <row r="91" spans="2:59" ht="12.75"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782" t="str">
        <f t="shared" ref="P91:P125" si="1">IF(O91="","",IF(O91=0,0,J91/O91))</f>
        <v/>
      </c>
      <c r="Q91" s="160" t="str">
        <f>IF(Summary_Products!P75="","",INDEX(Translations!$C:$C,MATCH(Summary_Products!P75,Translations!$B:$B,0)))</f>
        <v/>
      </c>
      <c r="R91" s="160" t="str">
        <f>IF(Summary_Products!Q75="","",Summary_Products!Q75)</f>
        <v/>
      </c>
      <c r="S91" s="615" t="str">
        <f>IF(Summary_Products!R75="","",Summary_Products!R75)</f>
        <v/>
      </c>
      <c r="T91" s="615" t="str">
        <f>IF(Summary_Products!S75="","",Summary_Products!S75)</f>
        <v/>
      </c>
      <c r="U91" s="615" t="str">
        <f>IF(Summary_Products!T75="","",Summary_Products!T75)</f>
        <v/>
      </c>
      <c r="V91" s="615" t="str">
        <f>IF(Summary_Products!U75="","",Summary_Products!U75)</f>
        <v/>
      </c>
      <c r="W91" s="615" t="str">
        <f>IF(Summary_Products!V75="","",Summary_Products!V75)</f>
        <v/>
      </c>
      <c r="X91" s="615" t="str">
        <f>IF(Summary_Products!W75="","",Summary_Products!W75)</f>
        <v/>
      </c>
      <c r="Y91" s="615" t="str">
        <f>IF(Summary_Products!X75="","",Summary_Products!X75)</f>
        <v/>
      </c>
      <c r="Z91" s="615" t="str">
        <f>IF(Summary_Products!Y75="","",Summary_Products!Y75)</f>
        <v/>
      </c>
      <c r="AA91" s="615" t="str">
        <f>IF(Summary_Products!Z75="","",Summary_Products!Z75)</f>
        <v/>
      </c>
      <c r="AB91" s="615" t="str">
        <f>IF(Summary_Products!AA75="","",Summary_Products!AA75)</f>
        <v/>
      </c>
      <c r="AC91" s="615" t="str">
        <f>IF(Summary_Products!AB75="","",Summary_Products!AB75)</f>
        <v/>
      </c>
      <c r="AD91" s="615" t="str">
        <f>IF(Summary_Products!AC75="","",Summary_Products!AC75)</f>
        <v/>
      </c>
      <c r="AE91" s="615" t="str">
        <f>IF(Summary_Products!AD75="","",Summary_Products!AD75)</f>
        <v/>
      </c>
      <c r="AF91" s="615" t="str">
        <f>IF(Summary_Products!AE75="","",Summary_Products!AE75)</f>
        <v/>
      </c>
      <c r="AG91" s="615" t="str">
        <f>IF(Summary_Products!AF75="","",Summary_Products!AF75)</f>
        <v/>
      </c>
      <c r="AH91" s="615" t="str">
        <f>IF(Summary_Products!AG75="","",Summary_Products!AG75)</f>
        <v/>
      </c>
      <c r="AI91" s="615" t="str">
        <f>IF(Summary_Products!AH75="","",Summary_Products!AH75)</f>
        <v/>
      </c>
      <c r="AJ91" s="615" t="str">
        <f>IF(Summary_Products!AI75="","",Summary_Products!AI75)</f>
        <v/>
      </c>
      <c r="AK91" s="615" t="str">
        <f>IF(Summary_Products!AJ75="","",Summary_Products!AJ75)</f>
        <v/>
      </c>
      <c r="AL91" s="615" t="str">
        <f>IF(Summary_Products!AK75="","",Summary_Products!AK75)</f>
        <v/>
      </c>
      <c r="AM91" s="421" t="str">
        <f>IF(Summary_Products!AL75="","",INDEX(Translations!$C:$C,MATCH(Summary_Products!AL75,Translations!$B:$B,0)))</f>
        <v/>
      </c>
      <c r="AN91" s="615" t="str">
        <f>IF(Summary_Products!AM75="","",Summary_Products!AM75)</f>
        <v/>
      </c>
      <c r="AO91" s="473" t="str">
        <f>IF(Summary_Products!AN75="","",Summary_Products!AN75)</f>
        <v/>
      </c>
      <c r="AP91" s="474" t="str">
        <f>IF(Summary_Products!AO75="","",Summary_Products!AO75)</f>
        <v/>
      </c>
      <c r="AQ91" s="160" t="str">
        <f>IF(Summary_Products!AP75="","",Summary_Products!AP75)</f>
        <v/>
      </c>
      <c r="AR91" s="477" t="str">
        <f>IF(Summary_Products!AR75="","",Summary_Products!AR75)</f>
        <v/>
      </c>
      <c r="AS91" s="474" t="str">
        <f>IF(Summary_Products!AS75="","",Summary_Products!AS75)</f>
        <v/>
      </c>
      <c r="AT91" s="421" t="str">
        <f>IF(Summary_Products!AT75="","",INDEX(Translations!$C:$C,MATCH(Summary_Products!AT75,Translations!$B:$B,0)))</f>
        <v/>
      </c>
      <c r="AU91" s="615" t="str">
        <f>IF(Summary_Products!AU75="","",Summary_Products!AU75)</f>
        <v/>
      </c>
      <c r="AV91" s="473" t="str">
        <f>IF(Summary_Products!AV75="","",Summary_Products!AV75)</f>
        <v/>
      </c>
      <c r="AW91" s="474" t="str">
        <f>IF(Summary_Products!AW75="","",Summary_Products!AW75)</f>
        <v/>
      </c>
      <c r="AX91" s="477" t="str">
        <f>IF(Summary_Products!AX75="","",Summary_Products!AX75)</f>
        <v/>
      </c>
      <c r="AY91" s="474" t="str">
        <f>IF(Summary_Products!AY75="","",Summary_Products!AY75)</f>
        <v/>
      </c>
      <c r="AZ91" s="477" t="str">
        <f>IF(Summary_Products!AZ75="","",Summary_Products!AZ75)</f>
        <v/>
      </c>
      <c r="BA91" s="478" t="str">
        <f>IF(Summary_Products!BA75="","",Summary_Products!BA75)</f>
        <v/>
      </c>
      <c r="BD91" s="156"/>
      <c r="BE91" s="156"/>
      <c r="BF91" s="156"/>
      <c r="BG91" s="156"/>
    </row>
    <row r="92" spans="2:59" ht="12.75"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782" t="str">
        <f t="shared" si="1"/>
        <v/>
      </c>
      <c r="Q92" s="160" t="str">
        <f>IF(Summary_Products!P76="","",INDEX(Translations!$C:$C,MATCH(Summary_Products!P76,Translations!$B:$B,0)))</f>
        <v/>
      </c>
      <c r="R92" s="160" t="str">
        <f>IF(Summary_Products!Q76="","",Summary_Products!Q76)</f>
        <v/>
      </c>
      <c r="S92" s="615" t="str">
        <f>IF(Summary_Products!R76="","",Summary_Products!R76)</f>
        <v/>
      </c>
      <c r="T92" s="615" t="str">
        <f>IF(Summary_Products!S76="","",Summary_Products!S76)</f>
        <v/>
      </c>
      <c r="U92" s="615" t="str">
        <f>IF(Summary_Products!T76="","",Summary_Products!T76)</f>
        <v/>
      </c>
      <c r="V92" s="615" t="str">
        <f>IF(Summary_Products!U76="","",Summary_Products!U76)</f>
        <v/>
      </c>
      <c r="W92" s="615" t="str">
        <f>IF(Summary_Products!V76="","",Summary_Products!V76)</f>
        <v/>
      </c>
      <c r="X92" s="615" t="str">
        <f>IF(Summary_Products!W76="","",Summary_Products!W76)</f>
        <v/>
      </c>
      <c r="Y92" s="615" t="str">
        <f>IF(Summary_Products!X76="","",Summary_Products!X76)</f>
        <v/>
      </c>
      <c r="Z92" s="615" t="str">
        <f>IF(Summary_Products!Y76="","",Summary_Products!Y76)</f>
        <v/>
      </c>
      <c r="AA92" s="615" t="str">
        <f>IF(Summary_Products!Z76="","",Summary_Products!Z76)</f>
        <v/>
      </c>
      <c r="AB92" s="615" t="str">
        <f>IF(Summary_Products!AA76="","",Summary_Products!AA76)</f>
        <v/>
      </c>
      <c r="AC92" s="615" t="str">
        <f>IF(Summary_Products!AB76="","",Summary_Products!AB76)</f>
        <v/>
      </c>
      <c r="AD92" s="615" t="str">
        <f>IF(Summary_Products!AC76="","",Summary_Products!AC76)</f>
        <v/>
      </c>
      <c r="AE92" s="615" t="str">
        <f>IF(Summary_Products!AD76="","",Summary_Products!AD76)</f>
        <v/>
      </c>
      <c r="AF92" s="615" t="str">
        <f>IF(Summary_Products!AE76="","",Summary_Products!AE76)</f>
        <v/>
      </c>
      <c r="AG92" s="615" t="str">
        <f>IF(Summary_Products!AF76="","",Summary_Products!AF76)</f>
        <v/>
      </c>
      <c r="AH92" s="615" t="str">
        <f>IF(Summary_Products!AG76="","",Summary_Products!AG76)</f>
        <v/>
      </c>
      <c r="AI92" s="615" t="str">
        <f>IF(Summary_Products!AH76="","",Summary_Products!AH76)</f>
        <v/>
      </c>
      <c r="AJ92" s="615" t="str">
        <f>IF(Summary_Products!AI76="","",Summary_Products!AI76)</f>
        <v/>
      </c>
      <c r="AK92" s="615" t="str">
        <f>IF(Summary_Products!AJ76="","",Summary_Products!AJ76)</f>
        <v/>
      </c>
      <c r="AL92" s="615" t="str">
        <f>IF(Summary_Products!AK76="","",Summary_Products!AK76)</f>
        <v/>
      </c>
      <c r="AM92" s="421" t="str">
        <f>IF(Summary_Products!AL76="","",INDEX(Translations!$C:$C,MATCH(Summary_Products!AL76,Translations!$B:$B,0)))</f>
        <v/>
      </c>
      <c r="AN92" s="615" t="str">
        <f>IF(Summary_Products!AM76="","",Summary_Products!AM76)</f>
        <v/>
      </c>
      <c r="AO92" s="473" t="str">
        <f>IF(Summary_Products!AN76="","",Summary_Products!AN76)</f>
        <v/>
      </c>
      <c r="AP92" s="474" t="str">
        <f>IF(Summary_Products!AO76="","",Summary_Products!AO76)</f>
        <v/>
      </c>
      <c r="AQ92" s="160" t="str">
        <f>IF(Summary_Products!AP76="","",Summary_Products!AP76)</f>
        <v/>
      </c>
      <c r="AR92" s="477" t="str">
        <f>IF(Summary_Products!AR76="","",Summary_Products!AR76)</f>
        <v/>
      </c>
      <c r="AS92" s="474" t="str">
        <f>IF(Summary_Products!AS76="","",Summary_Products!AS76)</f>
        <v/>
      </c>
      <c r="AT92" s="421" t="str">
        <f>IF(Summary_Products!AT76="","",INDEX(Translations!$C:$C,MATCH(Summary_Products!AT76,Translations!$B:$B,0)))</f>
        <v/>
      </c>
      <c r="AU92" s="615" t="str">
        <f>IF(Summary_Products!AU76="","",Summary_Products!AU76)</f>
        <v/>
      </c>
      <c r="AV92" s="473" t="str">
        <f>IF(Summary_Products!AV76="","",Summary_Products!AV76)</f>
        <v/>
      </c>
      <c r="AW92" s="474" t="str">
        <f>IF(Summary_Products!AW76="","",Summary_Products!AW76)</f>
        <v/>
      </c>
      <c r="AX92" s="477" t="str">
        <f>IF(Summary_Products!AX76="","",Summary_Products!AX76)</f>
        <v/>
      </c>
      <c r="AY92" s="474" t="str">
        <f>IF(Summary_Products!AY76="","",Summary_Products!AY76)</f>
        <v/>
      </c>
      <c r="AZ92" s="477" t="str">
        <f>IF(Summary_Products!AZ76="","",Summary_Products!AZ76)</f>
        <v/>
      </c>
      <c r="BA92" s="478" t="str">
        <f>IF(Summary_Products!BA76="","",Summary_Products!BA76)</f>
        <v/>
      </c>
      <c r="BD92" s="156"/>
      <c r="BE92" s="156"/>
      <c r="BF92" s="156"/>
      <c r="BG92" s="156"/>
    </row>
    <row r="93" spans="2:59" ht="12.75"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782" t="str">
        <f t="shared" si="1"/>
        <v/>
      </c>
      <c r="Q93" s="160" t="str">
        <f>IF(Summary_Products!P77="","",INDEX(Translations!$C:$C,MATCH(Summary_Products!P77,Translations!$B:$B,0)))</f>
        <v/>
      </c>
      <c r="R93" s="160" t="str">
        <f>IF(Summary_Products!Q77="","",Summary_Products!Q77)</f>
        <v/>
      </c>
      <c r="S93" s="615" t="str">
        <f>IF(Summary_Products!R77="","",Summary_Products!R77)</f>
        <v/>
      </c>
      <c r="T93" s="615" t="str">
        <f>IF(Summary_Products!S77="","",Summary_Products!S77)</f>
        <v/>
      </c>
      <c r="U93" s="615" t="str">
        <f>IF(Summary_Products!T77="","",Summary_Products!T77)</f>
        <v/>
      </c>
      <c r="V93" s="615" t="str">
        <f>IF(Summary_Products!U77="","",Summary_Products!U77)</f>
        <v/>
      </c>
      <c r="W93" s="615" t="str">
        <f>IF(Summary_Products!V77="","",Summary_Products!V77)</f>
        <v/>
      </c>
      <c r="X93" s="615" t="str">
        <f>IF(Summary_Products!W77="","",Summary_Products!W77)</f>
        <v/>
      </c>
      <c r="Y93" s="615" t="str">
        <f>IF(Summary_Products!X77="","",Summary_Products!X77)</f>
        <v/>
      </c>
      <c r="Z93" s="615" t="str">
        <f>IF(Summary_Products!Y77="","",Summary_Products!Y77)</f>
        <v/>
      </c>
      <c r="AA93" s="615" t="str">
        <f>IF(Summary_Products!Z77="","",Summary_Products!Z77)</f>
        <v/>
      </c>
      <c r="AB93" s="615" t="str">
        <f>IF(Summary_Products!AA77="","",Summary_Products!AA77)</f>
        <v/>
      </c>
      <c r="AC93" s="615" t="str">
        <f>IF(Summary_Products!AB77="","",Summary_Products!AB77)</f>
        <v/>
      </c>
      <c r="AD93" s="615" t="str">
        <f>IF(Summary_Products!AC77="","",Summary_Products!AC77)</f>
        <v/>
      </c>
      <c r="AE93" s="615" t="str">
        <f>IF(Summary_Products!AD77="","",Summary_Products!AD77)</f>
        <v/>
      </c>
      <c r="AF93" s="615" t="str">
        <f>IF(Summary_Products!AE77="","",Summary_Products!AE77)</f>
        <v/>
      </c>
      <c r="AG93" s="615" t="str">
        <f>IF(Summary_Products!AF77="","",Summary_Products!AF77)</f>
        <v/>
      </c>
      <c r="AH93" s="615" t="str">
        <f>IF(Summary_Products!AG77="","",Summary_Products!AG77)</f>
        <v/>
      </c>
      <c r="AI93" s="615" t="str">
        <f>IF(Summary_Products!AH77="","",Summary_Products!AH77)</f>
        <v/>
      </c>
      <c r="AJ93" s="615" t="str">
        <f>IF(Summary_Products!AI77="","",Summary_Products!AI77)</f>
        <v/>
      </c>
      <c r="AK93" s="615" t="str">
        <f>IF(Summary_Products!AJ77="","",Summary_Products!AJ77)</f>
        <v/>
      </c>
      <c r="AL93" s="615" t="str">
        <f>IF(Summary_Products!AK77="","",Summary_Products!AK77)</f>
        <v/>
      </c>
      <c r="AM93" s="421" t="str">
        <f>IF(Summary_Products!AL77="","",INDEX(Translations!$C:$C,MATCH(Summary_Products!AL77,Translations!$B:$B,0)))</f>
        <v/>
      </c>
      <c r="AN93" s="615" t="str">
        <f>IF(Summary_Products!AM77="","",Summary_Products!AM77)</f>
        <v/>
      </c>
      <c r="AO93" s="473" t="str">
        <f>IF(Summary_Products!AN77="","",Summary_Products!AN77)</f>
        <v/>
      </c>
      <c r="AP93" s="474" t="str">
        <f>IF(Summary_Products!AO77="","",Summary_Products!AO77)</f>
        <v/>
      </c>
      <c r="AQ93" s="160" t="str">
        <f>IF(Summary_Products!AP77="","",Summary_Products!AP77)</f>
        <v/>
      </c>
      <c r="AR93" s="477" t="str">
        <f>IF(Summary_Products!AR77="","",Summary_Products!AR77)</f>
        <v/>
      </c>
      <c r="AS93" s="474" t="str">
        <f>IF(Summary_Products!AS77="","",Summary_Products!AS77)</f>
        <v/>
      </c>
      <c r="AT93" s="421" t="str">
        <f>IF(Summary_Products!AT77="","",INDEX(Translations!$C:$C,MATCH(Summary_Products!AT77,Translations!$B:$B,0)))</f>
        <v/>
      </c>
      <c r="AU93" s="615" t="str">
        <f>IF(Summary_Products!AU77="","",Summary_Products!AU77)</f>
        <v/>
      </c>
      <c r="AV93" s="473" t="str">
        <f>IF(Summary_Products!AV77="","",Summary_Products!AV77)</f>
        <v/>
      </c>
      <c r="AW93" s="474" t="str">
        <f>IF(Summary_Products!AW77="","",Summary_Products!AW77)</f>
        <v/>
      </c>
      <c r="AX93" s="477" t="str">
        <f>IF(Summary_Products!AX77="","",Summary_Products!AX77)</f>
        <v/>
      </c>
      <c r="AY93" s="474" t="str">
        <f>IF(Summary_Products!AY77="","",Summary_Products!AY77)</f>
        <v/>
      </c>
      <c r="AZ93" s="477" t="str">
        <f>IF(Summary_Products!AZ77="","",Summary_Products!AZ77)</f>
        <v/>
      </c>
      <c r="BA93" s="478" t="str">
        <f>IF(Summary_Products!BA77="","",Summary_Products!BA77)</f>
        <v/>
      </c>
      <c r="BD93" s="156"/>
      <c r="BE93" s="156"/>
      <c r="BF93" s="156"/>
      <c r="BG93" s="156"/>
    </row>
    <row r="94" spans="2:59" ht="12.75"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782" t="str">
        <f t="shared" si="1"/>
        <v/>
      </c>
      <c r="Q94" s="160" t="str">
        <f>IF(Summary_Products!P78="","",INDEX(Translations!$C:$C,MATCH(Summary_Products!P78,Translations!$B:$B,0)))</f>
        <v/>
      </c>
      <c r="R94" s="160" t="str">
        <f>IF(Summary_Products!Q78="","",Summary_Products!Q78)</f>
        <v/>
      </c>
      <c r="S94" s="615" t="str">
        <f>IF(Summary_Products!R78="","",Summary_Products!R78)</f>
        <v/>
      </c>
      <c r="T94" s="615" t="str">
        <f>IF(Summary_Products!S78="","",Summary_Products!S78)</f>
        <v/>
      </c>
      <c r="U94" s="615" t="str">
        <f>IF(Summary_Products!T78="","",Summary_Products!T78)</f>
        <v/>
      </c>
      <c r="V94" s="615" t="str">
        <f>IF(Summary_Products!U78="","",Summary_Products!U78)</f>
        <v/>
      </c>
      <c r="W94" s="615" t="str">
        <f>IF(Summary_Products!V78="","",Summary_Products!V78)</f>
        <v/>
      </c>
      <c r="X94" s="615" t="str">
        <f>IF(Summary_Products!W78="","",Summary_Products!W78)</f>
        <v/>
      </c>
      <c r="Y94" s="615" t="str">
        <f>IF(Summary_Products!X78="","",Summary_Products!X78)</f>
        <v/>
      </c>
      <c r="Z94" s="615" t="str">
        <f>IF(Summary_Products!Y78="","",Summary_Products!Y78)</f>
        <v/>
      </c>
      <c r="AA94" s="615" t="str">
        <f>IF(Summary_Products!Z78="","",Summary_Products!Z78)</f>
        <v/>
      </c>
      <c r="AB94" s="615" t="str">
        <f>IF(Summary_Products!AA78="","",Summary_Products!AA78)</f>
        <v/>
      </c>
      <c r="AC94" s="615" t="str">
        <f>IF(Summary_Products!AB78="","",Summary_Products!AB78)</f>
        <v/>
      </c>
      <c r="AD94" s="615" t="str">
        <f>IF(Summary_Products!AC78="","",Summary_Products!AC78)</f>
        <v/>
      </c>
      <c r="AE94" s="615" t="str">
        <f>IF(Summary_Products!AD78="","",Summary_Products!AD78)</f>
        <v/>
      </c>
      <c r="AF94" s="615" t="str">
        <f>IF(Summary_Products!AE78="","",Summary_Products!AE78)</f>
        <v/>
      </c>
      <c r="AG94" s="615" t="str">
        <f>IF(Summary_Products!AF78="","",Summary_Products!AF78)</f>
        <v/>
      </c>
      <c r="AH94" s="615" t="str">
        <f>IF(Summary_Products!AG78="","",Summary_Products!AG78)</f>
        <v/>
      </c>
      <c r="AI94" s="615" t="str">
        <f>IF(Summary_Products!AH78="","",Summary_Products!AH78)</f>
        <v/>
      </c>
      <c r="AJ94" s="615" t="str">
        <f>IF(Summary_Products!AI78="","",Summary_Products!AI78)</f>
        <v/>
      </c>
      <c r="AK94" s="615" t="str">
        <f>IF(Summary_Products!AJ78="","",Summary_Products!AJ78)</f>
        <v/>
      </c>
      <c r="AL94" s="615" t="str">
        <f>IF(Summary_Products!AK78="","",Summary_Products!AK78)</f>
        <v/>
      </c>
      <c r="AM94" s="421" t="str">
        <f>IF(Summary_Products!AL78="","",INDEX(Translations!$C:$C,MATCH(Summary_Products!AL78,Translations!$B:$B,0)))</f>
        <v/>
      </c>
      <c r="AN94" s="615" t="str">
        <f>IF(Summary_Products!AM78="","",Summary_Products!AM78)</f>
        <v/>
      </c>
      <c r="AO94" s="473" t="str">
        <f>IF(Summary_Products!AN78="","",Summary_Products!AN78)</f>
        <v/>
      </c>
      <c r="AP94" s="474" t="str">
        <f>IF(Summary_Products!AO78="","",Summary_Products!AO78)</f>
        <v/>
      </c>
      <c r="AQ94" s="160" t="str">
        <f>IF(Summary_Products!AP78="","",Summary_Products!AP78)</f>
        <v/>
      </c>
      <c r="AR94" s="477" t="str">
        <f>IF(Summary_Products!AR78="","",Summary_Products!AR78)</f>
        <v/>
      </c>
      <c r="AS94" s="474" t="str">
        <f>IF(Summary_Products!AS78="","",Summary_Products!AS78)</f>
        <v/>
      </c>
      <c r="AT94" s="421" t="str">
        <f>IF(Summary_Products!AT78="","",INDEX(Translations!$C:$C,MATCH(Summary_Products!AT78,Translations!$B:$B,0)))</f>
        <v/>
      </c>
      <c r="AU94" s="615" t="str">
        <f>IF(Summary_Products!AU78="","",Summary_Products!AU78)</f>
        <v/>
      </c>
      <c r="AV94" s="473" t="str">
        <f>IF(Summary_Products!AV78="","",Summary_Products!AV78)</f>
        <v/>
      </c>
      <c r="AW94" s="474" t="str">
        <f>IF(Summary_Products!AW78="","",Summary_Products!AW78)</f>
        <v/>
      </c>
      <c r="AX94" s="477" t="str">
        <f>IF(Summary_Products!AX78="","",Summary_Products!AX78)</f>
        <v/>
      </c>
      <c r="AY94" s="474" t="str">
        <f>IF(Summary_Products!AY78="","",Summary_Products!AY78)</f>
        <v/>
      </c>
      <c r="AZ94" s="477" t="str">
        <f>IF(Summary_Products!AZ78="","",Summary_Products!AZ78)</f>
        <v/>
      </c>
      <c r="BA94" s="478" t="str">
        <f>IF(Summary_Products!BA78="","",Summary_Products!BA78)</f>
        <v/>
      </c>
      <c r="BD94" s="156"/>
      <c r="BE94" s="156"/>
      <c r="BF94" s="156"/>
      <c r="BG94" s="156"/>
    </row>
    <row r="95" spans="2:59" ht="12.75"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782" t="str">
        <f t="shared" si="1"/>
        <v/>
      </c>
      <c r="Q95" s="160" t="str">
        <f>IF(Summary_Products!P79="","",INDEX(Translations!$C:$C,MATCH(Summary_Products!P79,Translations!$B:$B,0)))</f>
        <v/>
      </c>
      <c r="R95" s="160" t="str">
        <f>IF(Summary_Products!Q79="","",Summary_Products!Q79)</f>
        <v/>
      </c>
      <c r="S95" s="615" t="str">
        <f>IF(Summary_Products!R79="","",Summary_Products!R79)</f>
        <v/>
      </c>
      <c r="T95" s="615" t="str">
        <f>IF(Summary_Products!S79="","",Summary_Products!S79)</f>
        <v/>
      </c>
      <c r="U95" s="615" t="str">
        <f>IF(Summary_Products!T79="","",Summary_Products!T79)</f>
        <v/>
      </c>
      <c r="V95" s="615" t="str">
        <f>IF(Summary_Products!U79="","",Summary_Products!U79)</f>
        <v/>
      </c>
      <c r="W95" s="615" t="str">
        <f>IF(Summary_Products!V79="","",Summary_Products!V79)</f>
        <v/>
      </c>
      <c r="X95" s="615" t="str">
        <f>IF(Summary_Products!W79="","",Summary_Products!W79)</f>
        <v/>
      </c>
      <c r="Y95" s="615" t="str">
        <f>IF(Summary_Products!X79="","",Summary_Products!X79)</f>
        <v/>
      </c>
      <c r="Z95" s="615" t="str">
        <f>IF(Summary_Products!Y79="","",Summary_Products!Y79)</f>
        <v/>
      </c>
      <c r="AA95" s="615" t="str">
        <f>IF(Summary_Products!Z79="","",Summary_Products!Z79)</f>
        <v/>
      </c>
      <c r="AB95" s="615" t="str">
        <f>IF(Summary_Products!AA79="","",Summary_Products!AA79)</f>
        <v/>
      </c>
      <c r="AC95" s="615" t="str">
        <f>IF(Summary_Products!AB79="","",Summary_Products!AB79)</f>
        <v/>
      </c>
      <c r="AD95" s="615" t="str">
        <f>IF(Summary_Products!AC79="","",Summary_Products!AC79)</f>
        <v/>
      </c>
      <c r="AE95" s="615" t="str">
        <f>IF(Summary_Products!AD79="","",Summary_Products!AD79)</f>
        <v/>
      </c>
      <c r="AF95" s="615" t="str">
        <f>IF(Summary_Products!AE79="","",Summary_Products!AE79)</f>
        <v/>
      </c>
      <c r="AG95" s="615" t="str">
        <f>IF(Summary_Products!AF79="","",Summary_Products!AF79)</f>
        <v/>
      </c>
      <c r="AH95" s="615" t="str">
        <f>IF(Summary_Products!AG79="","",Summary_Products!AG79)</f>
        <v/>
      </c>
      <c r="AI95" s="615" t="str">
        <f>IF(Summary_Products!AH79="","",Summary_Products!AH79)</f>
        <v/>
      </c>
      <c r="AJ95" s="615" t="str">
        <f>IF(Summary_Products!AI79="","",Summary_Products!AI79)</f>
        <v/>
      </c>
      <c r="AK95" s="615" t="str">
        <f>IF(Summary_Products!AJ79="","",Summary_Products!AJ79)</f>
        <v/>
      </c>
      <c r="AL95" s="615" t="str">
        <f>IF(Summary_Products!AK79="","",Summary_Products!AK79)</f>
        <v/>
      </c>
      <c r="AM95" s="421" t="str">
        <f>IF(Summary_Products!AL79="","",INDEX(Translations!$C:$C,MATCH(Summary_Products!AL79,Translations!$B:$B,0)))</f>
        <v/>
      </c>
      <c r="AN95" s="615" t="str">
        <f>IF(Summary_Products!AM79="","",Summary_Products!AM79)</f>
        <v/>
      </c>
      <c r="AO95" s="473" t="str">
        <f>IF(Summary_Products!AN79="","",Summary_Products!AN79)</f>
        <v/>
      </c>
      <c r="AP95" s="474" t="str">
        <f>IF(Summary_Products!AO79="","",Summary_Products!AO79)</f>
        <v/>
      </c>
      <c r="AQ95" s="160" t="str">
        <f>IF(Summary_Products!AP79="","",Summary_Products!AP79)</f>
        <v/>
      </c>
      <c r="AR95" s="477" t="str">
        <f>IF(Summary_Products!AR79="","",Summary_Products!AR79)</f>
        <v/>
      </c>
      <c r="AS95" s="474" t="str">
        <f>IF(Summary_Products!AS79="","",Summary_Products!AS79)</f>
        <v/>
      </c>
      <c r="AT95" s="421" t="str">
        <f>IF(Summary_Products!AT79="","",INDEX(Translations!$C:$C,MATCH(Summary_Products!AT79,Translations!$B:$B,0)))</f>
        <v/>
      </c>
      <c r="AU95" s="615" t="str">
        <f>IF(Summary_Products!AU79="","",Summary_Products!AU79)</f>
        <v/>
      </c>
      <c r="AV95" s="473" t="str">
        <f>IF(Summary_Products!AV79="","",Summary_Products!AV79)</f>
        <v/>
      </c>
      <c r="AW95" s="474" t="str">
        <f>IF(Summary_Products!AW79="","",Summary_Products!AW79)</f>
        <v/>
      </c>
      <c r="AX95" s="477" t="str">
        <f>IF(Summary_Products!AX79="","",Summary_Products!AX79)</f>
        <v/>
      </c>
      <c r="AY95" s="474" t="str">
        <f>IF(Summary_Products!AY79="","",Summary_Products!AY79)</f>
        <v/>
      </c>
      <c r="AZ95" s="477" t="str">
        <f>IF(Summary_Products!AZ79="","",Summary_Products!AZ79)</f>
        <v/>
      </c>
      <c r="BA95" s="478" t="str">
        <f>IF(Summary_Products!BA79="","",Summary_Products!BA79)</f>
        <v/>
      </c>
      <c r="BD95" s="156"/>
      <c r="BE95" s="156"/>
      <c r="BF95" s="156"/>
      <c r="BG95" s="156"/>
    </row>
    <row r="96" spans="2:59" ht="12.75"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782" t="str">
        <f t="shared" si="1"/>
        <v/>
      </c>
      <c r="Q96" s="160" t="str">
        <f>IF(Summary_Products!P80="","",INDEX(Translations!$C:$C,MATCH(Summary_Products!P80,Translations!$B:$B,0)))</f>
        <v/>
      </c>
      <c r="R96" s="160" t="str">
        <f>IF(Summary_Products!Q80="","",Summary_Products!Q80)</f>
        <v/>
      </c>
      <c r="S96" s="615" t="str">
        <f>IF(Summary_Products!R80="","",Summary_Products!R80)</f>
        <v/>
      </c>
      <c r="T96" s="615" t="str">
        <f>IF(Summary_Products!S80="","",Summary_Products!S80)</f>
        <v/>
      </c>
      <c r="U96" s="615" t="str">
        <f>IF(Summary_Products!T80="","",Summary_Products!T80)</f>
        <v/>
      </c>
      <c r="V96" s="615" t="str">
        <f>IF(Summary_Products!U80="","",Summary_Products!U80)</f>
        <v/>
      </c>
      <c r="W96" s="615" t="str">
        <f>IF(Summary_Products!V80="","",Summary_Products!V80)</f>
        <v/>
      </c>
      <c r="X96" s="615" t="str">
        <f>IF(Summary_Products!W80="","",Summary_Products!W80)</f>
        <v/>
      </c>
      <c r="Y96" s="615" t="str">
        <f>IF(Summary_Products!X80="","",Summary_Products!X80)</f>
        <v/>
      </c>
      <c r="Z96" s="615" t="str">
        <f>IF(Summary_Products!Y80="","",Summary_Products!Y80)</f>
        <v/>
      </c>
      <c r="AA96" s="615" t="str">
        <f>IF(Summary_Products!Z80="","",Summary_Products!Z80)</f>
        <v/>
      </c>
      <c r="AB96" s="615" t="str">
        <f>IF(Summary_Products!AA80="","",Summary_Products!AA80)</f>
        <v/>
      </c>
      <c r="AC96" s="615" t="str">
        <f>IF(Summary_Products!AB80="","",Summary_Products!AB80)</f>
        <v/>
      </c>
      <c r="AD96" s="615" t="str">
        <f>IF(Summary_Products!AC80="","",Summary_Products!AC80)</f>
        <v/>
      </c>
      <c r="AE96" s="615" t="str">
        <f>IF(Summary_Products!AD80="","",Summary_Products!AD80)</f>
        <v/>
      </c>
      <c r="AF96" s="615" t="str">
        <f>IF(Summary_Products!AE80="","",Summary_Products!AE80)</f>
        <v/>
      </c>
      <c r="AG96" s="615" t="str">
        <f>IF(Summary_Products!AF80="","",Summary_Products!AF80)</f>
        <v/>
      </c>
      <c r="AH96" s="615" t="str">
        <f>IF(Summary_Products!AG80="","",Summary_Products!AG80)</f>
        <v/>
      </c>
      <c r="AI96" s="615" t="str">
        <f>IF(Summary_Products!AH80="","",Summary_Products!AH80)</f>
        <v/>
      </c>
      <c r="AJ96" s="615" t="str">
        <f>IF(Summary_Products!AI80="","",Summary_Products!AI80)</f>
        <v/>
      </c>
      <c r="AK96" s="615" t="str">
        <f>IF(Summary_Products!AJ80="","",Summary_Products!AJ80)</f>
        <v/>
      </c>
      <c r="AL96" s="615" t="str">
        <f>IF(Summary_Products!AK80="","",Summary_Products!AK80)</f>
        <v/>
      </c>
      <c r="AM96" s="421" t="str">
        <f>IF(Summary_Products!AL80="","",INDEX(Translations!$C:$C,MATCH(Summary_Products!AL80,Translations!$B:$B,0)))</f>
        <v/>
      </c>
      <c r="AN96" s="615" t="str">
        <f>IF(Summary_Products!AM80="","",Summary_Products!AM80)</f>
        <v/>
      </c>
      <c r="AO96" s="473" t="str">
        <f>IF(Summary_Products!AN80="","",Summary_Products!AN80)</f>
        <v/>
      </c>
      <c r="AP96" s="474" t="str">
        <f>IF(Summary_Products!AO80="","",Summary_Products!AO80)</f>
        <v/>
      </c>
      <c r="AQ96" s="160" t="str">
        <f>IF(Summary_Products!AP80="","",Summary_Products!AP80)</f>
        <v/>
      </c>
      <c r="AR96" s="477" t="str">
        <f>IF(Summary_Products!AR80="","",Summary_Products!AR80)</f>
        <v/>
      </c>
      <c r="AS96" s="474" t="str">
        <f>IF(Summary_Products!AS80="","",Summary_Products!AS80)</f>
        <v/>
      </c>
      <c r="AT96" s="421" t="str">
        <f>IF(Summary_Products!AT80="","",INDEX(Translations!$C:$C,MATCH(Summary_Products!AT80,Translations!$B:$B,0)))</f>
        <v/>
      </c>
      <c r="AU96" s="615" t="str">
        <f>IF(Summary_Products!AU80="","",Summary_Products!AU80)</f>
        <v/>
      </c>
      <c r="AV96" s="473" t="str">
        <f>IF(Summary_Products!AV80="","",Summary_Products!AV80)</f>
        <v/>
      </c>
      <c r="AW96" s="474" t="str">
        <f>IF(Summary_Products!AW80="","",Summary_Products!AW80)</f>
        <v/>
      </c>
      <c r="AX96" s="477" t="str">
        <f>IF(Summary_Products!AX80="","",Summary_Products!AX80)</f>
        <v/>
      </c>
      <c r="AY96" s="474" t="str">
        <f>IF(Summary_Products!AY80="","",Summary_Products!AY80)</f>
        <v/>
      </c>
      <c r="AZ96" s="477" t="str">
        <f>IF(Summary_Products!AZ80="","",Summary_Products!AZ80)</f>
        <v/>
      </c>
      <c r="BA96" s="478" t="str">
        <f>IF(Summary_Products!BA80="","",Summary_Products!BA80)</f>
        <v/>
      </c>
      <c r="BD96" s="156"/>
      <c r="BE96" s="156"/>
      <c r="BF96" s="156"/>
      <c r="BG96" s="156"/>
    </row>
    <row r="97" spans="2:59" ht="12.75"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782" t="str">
        <f t="shared" si="1"/>
        <v/>
      </c>
      <c r="Q97" s="160" t="str">
        <f>IF(Summary_Products!P81="","",INDEX(Translations!$C:$C,MATCH(Summary_Products!P81,Translations!$B:$B,0)))</f>
        <v/>
      </c>
      <c r="R97" s="160" t="str">
        <f>IF(Summary_Products!Q81="","",Summary_Products!Q81)</f>
        <v/>
      </c>
      <c r="S97" s="615" t="str">
        <f>IF(Summary_Products!R81="","",Summary_Products!R81)</f>
        <v/>
      </c>
      <c r="T97" s="615" t="str">
        <f>IF(Summary_Products!S81="","",Summary_Products!S81)</f>
        <v/>
      </c>
      <c r="U97" s="615" t="str">
        <f>IF(Summary_Products!T81="","",Summary_Products!T81)</f>
        <v/>
      </c>
      <c r="V97" s="615" t="str">
        <f>IF(Summary_Products!U81="","",Summary_Products!U81)</f>
        <v/>
      </c>
      <c r="W97" s="615" t="str">
        <f>IF(Summary_Products!V81="","",Summary_Products!V81)</f>
        <v/>
      </c>
      <c r="X97" s="615" t="str">
        <f>IF(Summary_Products!W81="","",Summary_Products!W81)</f>
        <v/>
      </c>
      <c r="Y97" s="615" t="str">
        <f>IF(Summary_Products!X81="","",Summary_Products!X81)</f>
        <v/>
      </c>
      <c r="Z97" s="615" t="str">
        <f>IF(Summary_Products!Y81="","",Summary_Products!Y81)</f>
        <v/>
      </c>
      <c r="AA97" s="615" t="str">
        <f>IF(Summary_Products!Z81="","",Summary_Products!Z81)</f>
        <v/>
      </c>
      <c r="AB97" s="615" t="str">
        <f>IF(Summary_Products!AA81="","",Summary_Products!AA81)</f>
        <v/>
      </c>
      <c r="AC97" s="615" t="str">
        <f>IF(Summary_Products!AB81="","",Summary_Products!AB81)</f>
        <v/>
      </c>
      <c r="AD97" s="615" t="str">
        <f>IF(Summary_Products!AC81="","",Summary_Products!AC81)</f>
        <v/>
      </c>
      <c r="AE97" s="615" t="str">
        <f>IF(Summary_Products!AD81="","",Summary_Products!AD81)</f>
        <v/>
      </c>
      <c r="AF97" s="615" t="str">
        <f>IF(Summary_Products!AE81="","",Summary_Products!AE81)</f>
        <v/>
      </c>
      <c r="AG97" s="615" t="str">
        <f>IF(Summary_Products!AF81="","",Summary_Products!AF81)</f>
        <v/>
      </c>
      <c r="AH97" s="615" t="str">
        <f>IF(Summary_Products!AG81="","",Summary_Products!AG81)</f>
        <v/>
      </c>
      <c r="AI97" s="615" t="str">
        <f>IF(Summary_Products!AH81="","",Summary_Products!AH81)</f>
        <v/>
      </c>
      <c r="AJ97" s="615" t="str">
        <f>IF(Summary_Products!AI81="","",Summary_Products!AI81)</f>
        <v/>
      </c>
      <c r="AK97" s="615" t="str">
        <f>IF(Summary_Products!AJ81="","",Summary_Products!AJ81)</f>
        <v/>
      </c>
      <c r="AL97" s="615" t="str">
        <f>IF(Summary_Products!AK81="","",Summary_Products!AK81)</f>
        <v/>
      </c>
      <c r="AM97" s="421" t="str">
        <f>IF(Summary_Products!AL81="","",INDEX(Translations!$C:$C,MATCH(Summary_Products!AL81,Translations!$B:$B,0)))</f>
        <v/>
      </c>
      <c r="AN97" s="615" t="str">
        <f>IF(Summary_Products!AM81="","",Summary_Products!AM81)</f>
        <v/>
      </c>
      <c r="AO97" s="473" t="str">
        <f>IF(Summary_Products!AN81="","",Summary_Products!AN81)</f>
        <v/>
      </c>
      <c r="AP97" s="474" t="str">
        <f>IF(Summary_Products!AO81="","",Summary_Products!AO81)</f>
        <v/>
      </c>
      <c r="AQ97" s="160" t="str">
        <f>IF(Summary_Products!AP81="","",Summary_Products!AP81)</f>
        <v/>
      </c>
      <c r="AR97" s="477" t="str">
        <f>IF(Summary_Products!AR81="","",Summary_Products!AR81)</f>
        <v/>
      </c>
      <c r="AS97" s="474" t="str">
        <f>IF(Summary_Products!AS81="","",Summary_Products!AS81)</f>
        <v/>
      </c>
      <c r="AT97" s="421" t="str">
        <f>IF(Summary_Products!AT81="","",INDEX(Translations!$C:$C,MATCH(Summary_Products!AT81,Translations!$B:$B,0)))</f>
        <v/>
      </c>
      <c r="AU97" s="615" t="str">
        <f>IF(Summary_Products!AU81="","",Summary_Products!AU81)</f>
        <v/>
      </c>
      <c r="AV97" s="473" t="str">
        <f>IF(Summary_Products!AV81="","",Summary_Products!AV81)</f>
        <v/>
      </c>
      <c r="AW97" s="474" t="str">
        <f>IF(Summary_Products!AW81="","",Summary_Products!AW81)</f>
        <v/>
      </c>
      <c r="AX97" s="477" t="str">
        <f>IF(Summary_Products!AX81="","",Summary_Products!AX81)</f>
        <v/>
      </c>
      <c r="AY97" s="474" t="str">
        <f>IF(Summary_Products!AY81="","",Summary_Products!AY81)</f>
        <v/>
      </c>
      <c r="AZ97" s="477" t="str">
        <f>IF(Summary_Products!AZ81="","",Summary_Products!AZ81)</f>
        <v/>
      </c>
      <c r="BA97" s="478" t="str">
        <f>IF(Summary_Products!BA81="","",Summary_Products!BA81)</f>
        <v/>
      </c>
      <c r="BD97" s="156"/>
      <c r="BE97" s="156"/>
      <c r="BF97" s="156"/>
      <c r="BG97" s="156"/>
    </row>
    <row r="98" spans="2:59" ht="12.75"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782" t="str">
        <f t="shared" si="1"/>
        <v/>
      </c>
      <c r="Q98" s="160" t="str">
        <f>IF(Summary_Products!P82="","",INDEX(Translations!$C:$C,MATCH(Summary_Products!P82,Translations!$B:$B,0)))</f>
        <v/>
      </c>
      <c r="R98" s="160" t="str">
        <f>IF(Summary_Products!Q82="","",Summary_Products!Q82)</f>
        <v/>
      </c>
      <c r="S98" s="615" t="str">
        <f>IF(Summary_Products!R82="","",Summary_Products!R82)</f>
        <v/>
      </c>
      <c r="T98" s="615" t="str">
        <f>IF(Summary_Products!S82="","",Summary_Products!S82)</f>
        <v/>
      </c>
      <c r="U98" s="615" t="str">
        <f>IF(Summary_Products!T82="","",Summary_Products!T82)</f>
        <v/>
      </c>
      <c r="V98" s="615" t="str">
        <f>IF(Summary_Products!U82="","",Summary_Products!U82)</f>
        <v/>
      </c>
      <c r="W98" s="615" t="str">
        <f>IF(Summary_Products!V82="","",Summary_Products!V82)</f>
        <v/>
      </c>
      <c r="X98" s="615" t="str">
        <f>IF(Summary_Products!W82="","",Summary_Products!W82)</f>
        <v/>
      </c>
      <c r="Y98" s="615" t="str">
        <f>IF(Summary_Products!X82="","",Summary_Products!X82)</f>
        <v/>
      </c>
      <c r="Z98" s="615" t="str">
        <f>IF(Summary_Products!Y82="","",Summary_Products!Y82)</f>
        <v/>
      </c>
      <c r="AA98" s="615" t="str">
        <f>IF(Summary_Products!Z82="","",Summary_Products!Z82)</f>
        <v/>
      </c>
      <c r="AB98" s="615" t="str">
        <f>IF(Summary_Products!AA82="","",Summary_Products!AA82)</f>
        <v/>
      </c>
      <c r="AC98" s="615" t="str">
        <f>IF(Summary_Products!AB82="","",Summary_Products!AB82)</f>
        <v/>
      </c>
      <c r="AD98" s="615" t="str">
        <f>IF(Summary_Products!AC82="","",Summary_Products!AC82)</f>
        <v/>
      </c>
      <c r="AE98" s="615" t="str">
        <f>IF(Summary_Products!AD82="","",Summary_Products!AD82)</f>
        <v/>
      </c>
      <c r="AF98" s="615" t="str">
        <f>IF(Summary_Products!AE82="","",Summary_Products!AE82)</f>
        <v/>
      </c>
      <c r="AG98" s="615" t="str">
        <f>IF(Summary_Products!AF82="","",Summary_Products!AF82)</f>
        <v/>
      </c>
      <c r="AH98" s="615" t="str">
        <f>IF(Summary_Products!AG82="","",Summary_Products!AG82)</f>
        <v/>
      </c>
      <c r="AI98" s="615" t="str">
        <f>IF(Summary_Products!AH82="","",Summary_Products!AH82)</f>
        <v/>
      </c>
      <c r="AJ98" s="615" t="str">
        <f>IF(Summary_Products!AI82="","",Summary_Products!AI82)</f>
        <v/>
      </c>
      <c r="AK98" s="615" t="str">
        <f>IF(Summary_Products!AJ82="","",Summary_Products!AJ82)</f>
        <v/>
      </c>
      <c r="AL98" s="615" t="str">
        <f>IF(Summary_Products!AK82="","",Summary_Products!AK82)</f>
        <v/>
      </c>
      <c r="AM98" s="421" t="str">
        <f>IF(Summary_Products!AL82="","",INDEX(Translations!$C:$C,MATCH(Summary_Products!AL82,Translations!$B:$B,0)))</f>
        <v/>
      </c>
      <c r="AN98" s="615" t="str">
        <f>IF(Summary_Products!AM82="","",Summary_Products!AM82)</f>
        <v/>
      </c>
      <c r="AO98" s="473" t="str">
        <f>IF(Summary_Products!AN82="","",Summary_Products!AN82)</f>
        <v/>
      </c>
      <c r="AP98" s="474" t="str">
        <f>IF(Summary_Products!AO82="","",Summary_Products!AO82)</f>
        <v/>
      </c>
      <c r="AQ98" s="160" t="str">
        <f>IF(Summary_Products!AP82="","",Summary_Products!AP82)</f>
        <v/>
      </c>
      <c r="AR98" s="477" t="str">
        <f>IF(Summary_Products!AR82="","",Summary_Products!AR82)</f>
        <v/>
      </c>
      <c r="AS98" s="474" t="str">
        <f>IF(Summary_Products!AS82="","",Summary_Products!AS82)</f>
        <v/>
      </c>
      <c r="AT98" s="421" t="str">
        <f>IF(Summary_Products!AT82="","",INDEX(Translations!$C:$C,MATCH(Summary_Products!AT82,Translations!$B:$B,0)))</f>
        <v/>
      </c>
      <c r="AU98" s="615" t="str">
        <f>IF(Summary_Products!AU82="","",Summary_Products!AU82)</f>
        <v/>
      </c>
      <c r="AV98" s="473" t="str">
        <f>IF(Summary_Products!AV82="","",Summary_Products!AV82)</f>
        <v/>
      </c>
      <c r="AW98" s="474" t="str">
        <f>IF(Summary_Products!AW82="","",Summary_Products!AW82)</f>
        <v/>
      </c>
      <c r="AX98" s="477" t="str">
        <f>IF(Summary_Products!AX82="","",Summary_Products!AX82)</f>
        <v/>
      </c>
      <c r="AY98" s="474" t="str">
        <f>IF(Summary_Products!AY82="","",Summary_Products!AY82)</f>
        <v/>
      </c>
      <c r="AZ98" s="477" t="str">
        <f>IF(Summary_Products!AZ82="","",Summary_Products!AZ82)</f>
        <v/>
      </c>
      <c r="BA98" s="478" t="str">
        <f>IF(Summary_Products!BA82="","",Summary_Products!BA82)</f>
        <v/>
      </c>
      <c r="BD98" s="156"/>
      <c r="BE98" s="156"/>
      <c r="BF98" s="156"/>
      <c r="BG98" s="156"/>
    </row>
    <row r="99" spans="2:59" ht="12.75"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782" t="str">
        <f t="shared" si="1"/>
        <v/>
      </c>
      <c r="Q99" s="160" t="str">
        <f>IF(Summary_Products!P83="","",INDEX(Translations!$C:$C,MATCH(Summary_Products!P83,Translations!$B:$B,0)))</f>
        <v/>
      </c>
      <c r="R99" s="160" t="str">
        <f>IF(Summary_Products!Q83="","",Summary_Products!Q83)</f>
        <v/>
      </c>
      <c r="S99" s="615" t="str">
        <f>IF(Summary_Products!R83="","",Summary_Products!R83)</f>
        <v/>
      </c>
      <c r="T99" s="615" t="str">
        <f>IF(Summary_Products!S83="","",Summary_Products!S83)</f>
        <v/>
      </c>
      <c r="U99" s="615" t="str">
        <f>IF(Summary_Products!T83="","",Summary_Products!T83)</f>
        <v/>
      </c>
      <c r="V99" s="615" t="str">
        <f>IF(Summary_Products!U83="","",Summary_Products!U83)</f>
        <v/>
      </c>
      <c r="W99" s="615" t="str">
        <f>IF(Summary_Products!V83="","",Summary_Products!V83)</f>
        <v/>
      </c>
      <c r="X99" s="615" t="str">
        <f>IF(Summary_Products!W83="","",Summary_Products!W83)</f>
        <v/>
      </c>
      <c r="Y99" s="615" t="str">
        <f>IF(Summary_Products!X83="","",Summary_Products!X83)</f>
        <v/>
      </c>
      <c r="Z99" s="615" t="str">
        <f>IF(Summary_Products!Y83="","",Summary_Products!Y83)</f>
        <v/>
      </c>
      <c r="AA99" s="615" t="str">
        <f>IF(Summary_Products!Z83="","",Summary_Products!Z83)</f>
        <v/>
      </c>
      <c r="AB99" s="615" t="str">
        <f>IF(Summary_Products!AA83="","",Summary_Products!AA83)</f>
        <v/>
      </c>
      <c r="AC99" s="615" t="str">
        <f>IF(Summary_Products!AB83="","",Summary_Products!AB83)</f>
        <v/>
      </c>
      <c r="AD99" s="615" t="str">
        <f>IF(Summary_Products!AC83="","",Summary_Products!AC83)</f>
        <v/>
      </c>
      <c r="AE99" s="615" t="str">
        <f>IF(Summary_Products!AD83="","",Summary_Products!AD83)</f>
        <v/>
      </c>
      <c r="AF99" s="615" t="str">
        <f>IF(Summary_Products!AE83="","",Summary_Products!AE83)</f>
        <v/>
      </c>
      <c r="AG99" s="615" t="str">
        <f>IF(Summary_Products!AF83="","",Summary_Products!AF83)</f>
        <v/>
      </c>
      <c r="AH99" s="615" t="str">
        <f>IF(Summary_Products!AG83="","",Summary_Products!AG83)</f>
        <v/>
      </c>
      <c r="AI99" s="615" t="str">
        <f>IF(Summary_Products!AH83="","",Summary_Products!AH83)</f>
        <v/>
      </c>
      <c r="AJ99" s="615" t="str">
        <f>IF(Summary_Products!AI83="","",Summary_Products!AI83)</f>
        <v/>
      </c>
      <c r="AK99" s="615" t="str">
        <f>IF(Summary_Products!AJ83="","",Summary_Products!AJ83)</f>
        <v/>
      </c>
      <c r="AL99" s="615" t="str">
        <f>IF(Summary_Products!AK83="","",Summary_Products!AK83)</f>
        <v/>
      </c>
      <c r="AM99" s="421" t="str">
        <f>IF(Summary_Products!AL83="","",INDEX(Translations!$C:$C,MATCH(Summary_Products!AL83,Translations!$B:$B,0)))</f>
        <v/>
      </c>
      <c r="AN99" s="615" t="str">
        <f>IF(Summary_Products!AM83="","",Summary_Products!AM83)</f>
        <v/>
      </c>
      <c r="AO99" s="473" t="str">
        <f>IF(Summary_Products!AN83="","",Summary_Products!AN83)</f>
        <v/>
      </c>
      <c r="AP99" s="474" t="str">
        <f>IF(Summary_Products!AO83="","",Summary_Products!AO83)</f>
        <v/>
      </c>
      <c r="AQ99" s="160" t="str">
        <f>IF(Summary_Products!AP83="","",Summary_Products!AP83)</f>
        <v/>
      </c>
      <c r="AR99" s="477" t="str">
        <f>IF(Summary_Products!AR83="","",Summary_Products!AR83)</f>
        <v/>
      </c>
      <c r="AS99" s="474" t="str">
        <f>IF(Summary_Products!AS83="","",Summary_Products!AS83)</f>
        <v/>
      </c>
      <c r="AT99" s="421" t="str">
        <f>IF(Summary_Products!AT83="","",INDEX(Translations!$C:$C,MATCH(Summary_Products!AT83,Translations!$B:$B,0)))</f>
        <v/>
      </c>
      <c r="AU99" s="615" t="str">
        <f>IF(Summary_Products!AU83="","",Summary_Products!AU83)</f>
        <v/>
      </c>
      <c r="AV99" s="473" t="str">
        <f>IF(Summary_Products!AV83="","",Summary_Products!AV83)</f>
        <v/>
      </c>
      <c r="AW99" s="474" t="str">
        <f>IF(Summary_Products!AW83="","",Summary_Products!AW83)</f>
        <v/>
      </c>
      <c r="AX99" s="477" t="str">
        <f>IF(Summary_Products!AX83="","",Summary_Products!AX83)</f>
        <v/>
      </c>
      <c r="AY99" s="474" t="str">
        <f>IF(Summary_Products!AY83="","",Summary_Products!AY83)</f>
        <v/>
      </c>
      <c r="AZ99" s="477" t="str">
        <f>IF(Summary_Products!AZ83="","",Summary_Products!AZ83)</f>
        <v/>
      </c>
      <c r="BA99" s="478" t="str">
        <f>IF(Summary_Products!BA83="","",Summary_Products!BA83)</f>
        <v/>
      </c>
      <c r="BD99" s="156"/>
      <c r="BE99" s="156"/>
      <c r="BF99" s="156"/>
      <c r="BG99" s="156"/>
    </row>
    <row r="100" spans="2:59" ht="12.75"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782" t="str">
        <f t="shared" si="1"/>
        <v/>
      </c>
      <c r="Q100" s="160" t="str">
        <f>IF(Summary_Products!P84="","",INDEX(Translations!$C:$C,MATCH(Summary_Products!P84,Translations!$B:$B,0)))</f>
        <v/>
      </c>
      <c r="R100" s="160" t="str">
        <f>IF(Summary_Products!Q84="","",Summary_Products!Q84)</f>
        <v/>
      </c>
      <c r="S100" s="615" t="str">
        <f>IF(Summary_Products!R84="","",Summary_Products!R84)</f>
        <v/>
      </c>
      <c r="T100" s="615" t="str">
        <f>IF(Summary_Products!S84="","",Summary_Products!S84)</f>
        <v/>
      </c>
      <c r="U100" s="615" t="str">
        <f>IF(Summary_Products!T84="","",Summary_Products!T84)</f>
        <v/>
      </c>
      <c r="V100" s="615" t="str">
        <f>IF(Summary_Products!U84="","",Summary_Products!U84)</f>
        <v/>
      </c>
      <c r="W100" s="615" t="str">
        <f>IF(Summary_Products!V84="","",Summary_Products!V84)</f>
        <v/>
      </c>
      <c r="X100" s="615" t="str">
        <f>IF(Summary_Products!W84="","",Summary_Products!W84)</f>
        <v/>
      </c>
      <c r="Y100" s="615" t="str">
        <f>IF(Summary_Products!X84="","",Summary_Products!X84)</f>
        <v/>
      </c>
      <c r="Z100" s="615" t="str">
        <f>IF(Summary_Products!Y84="","",Summary_Products!Y84)</f>
        <v/>
      </c>
      <c r="AA100" s="615" t="str">
        <f>IF(Summary_Products!Z84="","",Summary_Products!Z84)</f>
        <v/>
      </c>
      <c r="AB100" s="615" t="str">
        <f>IF(Summary_Products!AA84="","",Summary_Products!AA84)</f>
        <v/>
      </c>
      <c r="AC100" s="615" t="str">
        <f>IF(Summary_Products!AB84="","",Summary_Products!AB84)</f>
        <v/>
      </c>
      <c r="AD100" s="615" t="str">
        <f>IF(Summary_Products!AC84="","",Summary_Products!AC84)</f>
        <v/>
      </c>
      <c r="AE100" s="615" t="str">
        <f>IF(Summary_Products!AD84="","",Summary_Products!AD84)</f>
        <v/>
      </c>
      <c r="AF100" s="615" t="str">
        <f>IF(Summary_Products!AE84="","",Summary_Products!AE84)</f>
        <v/>
      </c>
      <c r="AG100" s="615" t="str">
        <f>IF(Summary_Products!AF84="","",Summary_Products!AF84)</f>
        <v/>
      </c>
      <c r="AH100" s="615" t="str">
        <f>IF(Summary_Products!AG84="","",Summary_Products!AG84)</f>
        <v/>
      </c>
      <c r="AI100" s="615" t="str">
        <f>IF(Summary_Products!AH84="","",Summary_Products!AH84)</f>
        <v/>
      </c>
      <c r="AJ100" s="615" t="str">
        <f>IF(Summary_Products!AI84="","",Summary_Products!AI84)</f>
        <v/>
      </c>
      <c r="AK100" s="615" t="str">
        <f>IF(Summary_Products!AJ84="","",Summary_Products!AJ84)</f>
        <v/>
      </c>
      <c r="AL100" s="615" t="str">
        <f>IF(Summary_Products!AK84="","",Summary_Products!AK84)</f>
        <v/>
      </c>
      <c r="AM100" s="421" t="str">
        <f>IF(Summary_Products!AL84="","",INDEX(Translations!$C:$C,MATCH(Summary_Products!AL84,Translations!$B:$B,0)))</f>
        <v/>
      </c>
      <c r="AN100" s="615" t="str">
        <f>IF(Summary_Products!AM84="","",Summary_Products!AM84)</f>
        <v/>
      </c>
      <c r="AO100" s="473" t="str">
        <f>IF(Summary_Products!AN84="","",Summary_Products!AN84)</f>
        <v/>
      </c>
      <c r="AP100" s="474" t="str">
        <f>IF(Summary_Products!AO84="","",Summary_Products!AO84)</f>
        <v/>
      </c>
      <c r="AQ100" s="160" t="str">
        <f>IF(Summary_Products!AP84="","",Summary_Products!AP84)</f>
        <v/>
      </c>
      <c r="AR100" s="477" t="str">
        <f>IF(Summary_Products!AR84="","",Summary_Products!AR84)</f>
        <v/>
      </c>
      <c r="AS100" s="474" t="str">
        <f>IF(Summary_Products!AS84="","",Summary_Products!AS84)</f>
        <v/>
      </c>
      <c r="AT100" s="421" t="str">
        <f>IF(Summary_Products!AT84="","",INDEX(Translations!$C:$C,MATCH(Summary_Products!AT84,Translations!$B:$B,0)))</f>
        <v/>
      </c>
      <c r="AU100" s="615" t="str">
        <f>IF(Summary_Products!AU84="","",Summary_Products!AU84)</f>
        <v/>
      </c>
      <c r="AV100" s="473" t="str">
        <f>IF(Summary_Products!AV84="","",Summary_Products!AV84)</f>
        <v/>
      </c>
      <c r="AW100" s="474" t="str">
        <f>IF(Summary_Products!AW84="","",Summary_Products!AW84)</f>
        <v/>
      </c>
      <c r="AX100" s="477" t="str">
        <f>IF(Summary_Products!AX84="","",Summary_Products!AX84)</f>
        <v/>
      </c>
      <c r="AY100" s="474" t="str">
        <f>IF(Summary_Products!AY84="","",Summary_Products!AY84)</f>
        <v/>
      </c>
      <c r="AZ100" s="477" t="str">
        <f>IF(Summary_Products!AZ84="","",Summary_Products!AZ84)</f>
        <v/>
      </c>
      <c r="BA100" s="478" t="str">
        <f>IF(Summary_Products!BA84="","",Summary_Products!BA84)</f>
        <v/>
      </c>
      <c r="BD100" s="156"/>
      <c r="BE100" s="156"/>
      <c r="BF100" s="156"/>
      <c r="BG100" s="156"/>
    </row>
    <row r="101" spans="2:59" ht="12.75"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782" t="str">
        <f t="shared" si="1"/>
        <v/>
      </c>
      <c r="Q101" s="160" t="str">
        <f>IF(Summary_Products!P85="","",INDEX(Translations!$C:$C,MATCH(Summary_Products!P85,Translations!$B:$B,0)))</f>
        <v/>
      </c>
      <c r="R101" s="160" t="str">
        <f>IF(Summary_Products!Q85="","",Summary_Products!Q85)</f>
        <v/>
      </c>
      <c r="S101" s="615" t="str">
        <f>IF(Summary_Products!R85="","",Summary_Products!R85)</f>
        <v/>
      </c>
      <c r="T101" s="615" t="str">
        <f>IF(Summary_Products!S85="","",Summary_Products!S85)</f>
        <v/>
      </c>
      <c r="U101" s="615" t="str">
        <f>IF(Summary_Products!T85="","",Summary_Products!T85)</f>
        <v/>
      </c>
      <c r="V101" s="615" t="str">
        <f>IF(Summary_Products!U85="","",Summary_Products!U85)</f>
        <v/>
      </c>
      <c r="W101" s="615" t="str">
        <f>IF(Summary_Products!V85="","",Summary_Products!V85)</f>
        <v/>
      </c>
      <c r="X101" s="615" t="str">
        <f>IF(Summary_Products!W85="","",Summary_Products!W85)</f>
        <v/>
      </c>
      <c r="Y101" s="615" t="str">
        <f>IF(Summary_Products!X85="","",Summary_Products!X85)</f>
        <v/>
      </c>
      <c r="Z101" s="615" t="str">
        <f>IF(Summary_Products!Y85="","",Summary_Products!Y85)</f>
        <v/>
      </c>
      <c r="AA101" s="615" t="str">
        <f>IF(Summary_Products!Z85="","",Summary_Products!Z85)</f>
        <v/>
      </c>
      <c r="AB101" s="615" t="str">
        <f>IF(Summary_Products!AA85="","",Summary_Products!AA85)</f>
        <v/>
      </c>
      <c r="AC101" s="615" t="str">
        <f>IF(Summary_Products!AB85="","",Summary_Products!AB85)</f>
        <v/>
      </c>
      <c r="AD101" s="615" t="str">
        <f>IF(Summary_Products!AC85="","",Summary_Products!AC85)</f>
        <v/>
      </c>
      <c r="AE101" s="615" t="str">
        <f>IF(Summary_Products!AD85="","",Summary_Products!AD85)</f>
        <v/>
      </c>
      <c r="AF101" s="615" t="str">
        <f>IF(Summary_Products!AE85="","",Summary_Products!AE85)</f>
        <v/>
      </c>
      <c r="AG101" s="615" t="str">
        <f>IF(Summary_Products!AF85="","",Summary_Products!AF85)</f>
        <v/>
      </c>
      <c r="AH101" s="615" t="str">
        <f>IF(Summary_Products!AG85="","",Summary_Products!AG85)</f>
        <v/>
      </c>
      <c r="AI101" s="615" t="str">
        <f>IF(Summary_Products!AH85="","",Summary_Products!AH85)</f>
        <v/>
      </c>
      <c r="AJ101" s="615" t="str">
        <f>IF(Summary_Products!AI85="","",Summary_Products!AI85)</f>
        <v/>
      </c>
      <c r="AK101" s="615" t="str">
        <f>IF(Summary_Products!AJ85="","",Summary_Products!AJ85)</f>
        <v/>
      </c>
      <c r="AL101" s="615" t="str">
        <f>IF(Summary_Products!AK85="","",Summary_Products!AK85)</f>
        <v/>
      </c>
      <c r="AM101" s="421" t="str">
        <f>IF(Summary_Products!AL85="","",INDEX(Translations!$C:$C,MATCH(Summary_Products!AL85,Translations!$B:$B,0)))</f>
        <v/>
      </c>
      <c r="AN101" s="615" t="str">
        <f>IF(Summary_Products!AM85="","",Summary_Products!AM85)</f>
        <v/>
      </c>
      <c r="AO101" s="473" t="str">
        <f>IF(Summary_Products!AN85="","",Summary_Products!AN85)</f>
        <v/>
      </c>
      <c r="AP101" s="474" t="str">
        <f>IF(Summary_Products!AO85="","",Summary_Products!AO85)</f>
        <v/>
      </c>
      <c r="AQ101" s="160" t="str">
        <f>IF(Summary_Products!AP85="","",Summary_Products!AP85)</f>
        <v/>
      </c>
      <c r="AR101" s="477" t="str">
        <f>IF(Summary_Products!AR85="","",Summary_Products!AR85)</f>
        <v/>
      </c>
      <c r="AS101" s="474" t="str">
        <f>IF(Summary_Products!AS85="","",Summary_Products!AS85)</f>
        <v/>
      </c>
      <c r="AT101" s="421" t="str">
        <f>IF(Summary_Products!AT85="","",INDEX(Translations!$C:$C,MATCH(Summary_Products!AT85,Translations!$B:$B,0)))</f>
        <v/>
      </c>
      <c r="AU101" s="615" t="str">
        <f>IF(Summary_Products!AU85="","",Summary_Products!AU85)</f>
        <v/>
      </c>
      <c r="AV101" s="473" t="str">
        <f>IF(Summary_Products!AV85="","",Summary_Products!AV85)</f>
        <v/>
      </c>
      <c r="AW101" s="474" t="str">
        <f>IF(Summary_Products!AW85="","",Summary_Products!AW85)</f>
        <v/>
      </c>
      <c r="AX101" s="477" t="str">
        <f>IF(Summary_Products!AX85="","",Summary_Products!AX85)</f>
        <v/>
      </c>
      <c r="AY101" s="474" t="str">
        <f>IF(Summary_Products!AY85="","",Summary_Products!AY85)</f>
        <v/>
      </c>
      <c r="AZ101" s="477" t="str">
        <f>IF(Summary_Products!AZ85="","",Summary_Products!AZ85)</f>
        <v/>
      </c>
      <c r="BA101" s="478" t="str">
        <f>IF(Summary_Products!BA85="","",Summary_Products!BA85)</f>
        <v/>
      </c>
      <c r="BD101" s="156"/>
      <c r="BE101" s="156"/>
      <c r="BF101" s="156"/>
      <c r="BG101" s="156"/>
    </row>
    <row r="102" spans="2:59" ht="12.75"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782" t="str">
        <f t="shared" si="1"/>
        <v/>
      </c>
      <c r="Q102" s="160" t="str">
        <f>IF(Summary_Products!P86="","",INDEX(Translations!$C:$C,MATCH(Summary_Products!P86,Translations!$B:$B,0)))</f>
        <v/>
      </c>
      <c r="R102" s="160" t="str">
        <f>IF(Summary_Products!Q86="","",Summary_Products!Q86)</f>
        <v/>
      </c>
      <c r="S102" s="615" t="str">
        <f>IF(Summary_Products!R86="","",Summary_Products!R86)</f>
        <v/>
      </c>
      <c r="T102" s="615" t="str">
        <f>IF(Summary_Products!S86="","",Summary_Products!S86)</f>
        <v/>
      </c>
      <c r="U102" s="615" t="str">
        <f>IF(Summary_Products!T86="","",Summary_Products!T86)</f>
        <v/>
      </c>
      <c r="V102" s="615" t="str">
        <f>IF(Summary_Products!U86="","",Summary_Products!U86)</f>
        <v/>
      </c>
      <c r="W102" s="615" t="str">
        <f>IF(Summary_Products!V86="","",Summary_Products!V86)</f>
        <v/>
      </c>
      <c r="X102" s="615" t="str">
        <f>IF(Summary_Products!W86="","",Summary_Products!W86)</f>
        <v/>
      </c>
      <c r="Y102" s="615" t="str">
        <f>IF(Summary_Products!X86="","",Summary_Products!X86)</f>
        <v/>
      </c>
      <c r="Z102" s="615" t="str">
        <f>IF(Summary_Products!Y86="","",Summary_Products!Y86)</f>
        <v/>
      </c>
      <c r="AA102" s="615" t="str">
        <f>IF(Summary_Products!Z86="","",Summary_Products!Z86)</f>
        <v/>
      </c>
      <c r="AB102" s="615" t="str">
        <f>IF(Summary_Products!AA86="","",Summary_Products!AA86)</f>
        <v/>
      </c>
      <c r="AC102" s="615" t="str">
        <f>IF(Summary_Products!AB86="","",Summary_Products!AB86)</f>
        <v/>
      </c>
      <c r="AD102" s="615" t="str">
        <f>IF(Summary_Products!AC86="","",Summary_Products!AC86)</f>
        <v/>
      </c>
      <c r="AE102" s="615" t="str">
        <f>IF(Summary_Products!AD86="","",Summary_Products!AD86)</f>
        <v/>
      </c>
      <c r="AF102" s="615" t="str">
        <f>IF(Summary_Products!AE86="","",Summary_Products!AE86)</f>
        <v/>
      </c>
      <c r="AG102" s="615" t="str">
        <f>IF(Summary_Products!AF86="","",Summary_Products!AF86)</f>
        <v/>
      </c>
      <c r="AH102" s="615" t="str">
        <f>IF(Summary_Products!AG86="","",Summary_Products!AG86)</f>
        <v/>
      </c>
      <c r="AI102" s="615" t="str">
        <f>IF(Summary_Products!AH86="","",Summary_Products!AH86)</f>
        <v/>
      </c>
      <c r="AJ102" s="615" t="str">
        <f>IF(Summary_Products!AI86="","",Summary_Products!AI86)</f>
        <v/>
      </c>
      <c r="AK102" s="615" t="str">
        <f>IF(Summary_Products!AJ86="","",Summary_Products!AJ86)</f>
        <v/>
      </c>
      <c r="AL102" s="615" t="str">
        <f>IF(Summary_Products!AK86="","",Summary_Products!AK86)</f>
        <v/>
      </c>
      <c r="AM102" s="421" t="str">
        <f>IF(Summary_Products!AL86="","",INDEX(Translations!$C:$C,MATCH(Summary_Products!AL86,Translations!$B:$B,0)))</f>
        <v/>
      </c>
      <c r="AN102" s="615" t="str">
        <f>IF(Summary_Products!AM86="","",Summary_Products!AM86)</f>
        <v/>
      </c>
      <c r="AO102" s="473" t="str">
        <f>IF(Summary_Products!AN86="","",Summary_Products!AN86)</f>
        <v/>
      </c>
      <c r="AP102" s="474" t="str">
        <f>IF(Summary_Products!AO86="","",Summary_Products!AO86)</f>
        <v/>
      </c>
      <c r="AQ102" s="160" t="str">
        <f>IF(Summary_Products!AP86="","",Summary_Products!AP86)</f>
        <v/>
      </c>
      <c r="AR102" s="477" t="str">
        <f>IF(Summary_Products!AR86="","",Summary_Products!AR86)</f>
        <v/>
      </c>
      <c r="AS102" s="474" t="str">
        <f>IF(Summary_Products!AS86="","",Summary_Products!AS86)</f>
        <v/>
      </c>
      <c r="AT102" s="421" t="str">
        <f>IF(Summary_Products!AT86="","",INDEX(Translations!$C:$C,MATCH(Summary_Products!AT86,Translations!$B:$B,0)))</f>
        <v/>
      </c>
      <c r="AU102" s="615" t="str">
        <f>IF(Summary_Products!AU86="","",Summary_Products!AU86)</f>
        <v/>
      </c>
      <c r="AV102" s="473" t="str">
        <f>IF(Summary_Products!AV86="","",Summary_Products!AV86)</f>
        <v/>
      </c>
      <c r="AW102" s="474" t="str">
        <f>IF(Summary_Products!AW86="","",Summary_Products!AW86)</f>
        <v/>
      </c>
      <c r="AX102" s="477" t="str">
        <f>IF(Summary_Products!AX86="","",Summary_Products!AX86)</f>
        <v/>
      </c>
      <c r="AY102" s="474" t="str">
        <f>IF(Summary_Products!AY86="","",Summary_Products!AY86)</f>
        <v/>
      </c>
      <c r="AZ102" s="477" t="str">
        <f>IF(Summary_Products!AZ86="","",Summary_Products!AZ86)</f>
        <v/>
      </c>
      <c r="BA102" s="478" t="str">
        <f>IF(Summary_Products!BA86="","",Summary_Products!BA86)</f>
        <v/>
      </c>
      <c r="BD102" s="156"/>
      <c r="BE102" s="156"/>
      <c r="BF102" s="156"/>
      <c r="BG102" s="156"/>
    </row>
    <row r="103" spans="2:59" ht="12.75"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782" t="str">
        <f t="shared" si="1"/>
        <v/>
      </c>
      <c r="Q103" s="160" t="str">
        <f>IF(Summary_Products!P87="","",INDEX(Translations!$C:$C,MATCH(Summary_Products!P87,Translations!$B:$B,0)))</f>
        <v/>
      </c>
      <c r="R103" s="160" t="str">
        <f>IF(Summary_Products!Q87="","",Summary_Products!Q87)</f>
        <v/>
      </c>
      <c r="S103" s="615" t="str">
        <f>IF(Summary_Products!R87="","",Summary_Products!R87)</f>
        <v/>
      </c>
      <c r="T103" s="615" t="str">
        <f>IF(Summary_Products!S87="","",Summary_Products!S87)</f>
        <v/>
      </c>
      <c r="U103" s="615" t="str">
        <f>IF(Summary_Products!T87="","",Summary_Products!T87)</f>
        <v/>
      </c>
      <c r="V103" s="615" t="str">
        <f>IF(Summary_Products!U87="","",Summary_Products!U87)</f>
        <v/>
      </c>
      <c r="W103" s="615" t="str">
        <f>IF(Summary_Products!V87="","",Summary_Products!V87)</f>
        <v/>
      </c>
      <c r="X103" s="615" t="str">
        <f>IF(Summary_Products!W87="","",Summary_Products!W87)</f>
        <v/>
      </c>
      <c r="Y103" s="615" t="str">
        <f>IF(Summary_Products!X87="","",Summary_Products!X87)</f>
        <v/>
      </c>
      <c r="Z103" s="615" t="str">
        <f>IF(Summary_Products!Y87="","",Summary_Products!Y87)</f>
        <v/>
      </c>
      <c r="AA103" s="615" t="str">
        <f>IF(Summary_Products!Z87="","",Summary_Products!Z87)</f>
        <v/>
      </c>
      <c r="AB103" s="615" t="str">
        <f>IF(Summary_Products!AA87="","",Summary_Products!AA87)</f>
        <v/>
      </c>
      <c r="AC103" s="615" t="str">
        <f>IF(Summary_Products!AB87="","",Summary_Products!AB87)</f>
        <v/>
      </c>
      <c r="AD103" s="615" t="str">
        <f>IF(Summary_Products!AC87="","",Summary_Products!AC87)</f>
        <v/>
      </c>
      <c r="AE103" s="615" t="str">
        <f>IF(Summary_Products!AD87="","",Summary_Products!AD87)</f>
        <v/>
      </c>
      <c r="AF103" s="615" t="str">
        <f>IF(Summary_Products!AE87="","",Summary_Products!AE87)</f>
        <v/>
      </c>
      <c r="AG103" s="615" t="str">
        <f>IF(Summary_Products!AF87="","",Summary_Products!AF87)</f>
        <v/>
      </c>
      <c r="AH103" s="615" t="str">
        <f>IF(Summary_Products!AG87="","",Summary_Products!AG87)</f>
        <v/>
      </c>
      <c r="AI103" s="615" t="str">
        <f>IF(Summary_Products!AH87="","",Summary_Products!AH87)</f>
        <v/>
      </c>
      <c r="AJ103" s="615" t="str">
        <f>IF(Summary_Products!AI87="","",Summary_Products!AI87)</f>
        <v/>
      </c>
      <c r="AK103" s="615" t="str">
        <f>IF(Summary_Products!AJ87="","",Summary_Products!AJ87)</f>
        <v/>
      </c>
      <c r="AL103" s="615" t="str">
        <f>IF(Summary_Products!AK87="","",Summary_Products!AK87)</f>
        <v/>
      </c>
      <c r="AM103" s="421" t="str">
        <f>IF(Summary_Products!AL87="","",INDEX(Translations!$C:$C,MATCH(Summary_Products!AL87,Translations!$B:$B,0)))</f>
        <v/>
      </c>
      <c r="AN103" s="615" t="str">
        <f>IF(Summary_Products!AM87="","",Summary_Products!AM87)</f>
        <v/>
      </c>
      <c r="AO103" s="473" t="str">
        <f>IF(Summary_Products!AN87="","",Summary_Products!AN87)</f>
        <v/>
      </c>
      <c r="AP103" s="474" t="str">
        <f>IF(Summary_Products!AO87="","",Summary_Products!AO87)</f>
        <v/>
      </c>
      <c r="AQ103" s="160" t="str">
        <f>IF(Summary_Products!AP87="","",Summary_Products!AP87)</f>
        <v/>
      </c>
      <c r="AR103" s="477" t="str">
        <f>IF(Summary_Products!AR87="","",Summary_Products!AR87)</f>
        <v/>
      </c>
      <c r="AS103" s="474" t="str">
        <f>IF(Summary_Products!AS87="","",Summary_Products!AS87)</f>
        <v/>
      </c>
      <c r="AT103" s="421" t="str">
        <f>IF(Summary_Products!AT87="","",INDEX(Translations!$C:$C,MATCH(Summary_Products!AT87,Translations!$B:$B,0)))</f>
        <v/>
      </c>
      <c r="AU103" s="615" t="str">
        <f>IF(Summary_Products!AU87="","",Summary_Products!AU87)</f>
        <v/>
      </c>
      <c r="AV103" s="473" t="str">
        <f>IF(Summary_Products!AV87="","",Summary_Products!AV87)</f>
        <v/>
      </c>
      <c r="AW103" s="474" t="str">
        <f>IF(Summary_Products!AW87="","",Summary_Products!AW87)</f>
        <v/>
      </c>
      <c r="AX103" s="477" t="str">
        <f>IF(Summary_Products!AX87="","",Summary_Products!AX87)</f>
        <v/>
      </c>
      <c r="AY103" s="474" t="str">
        <f>IF(Summary_Products!AY87="","",Summary_Products!AY87)</f>
        <v/>
      </c>
      <c r="AZ103" s="477" t="str">
        <f>IF(Summary_Products!AZ87="","",Summary_Products!AZ87)</f>
        <v/>
      </c>
      <c r="BA103" s="478" t="str">
        <f>IF(Summary_Products!BA87="","",Summary_Products!BA87)</f>
        <v/>
      </c>
      <c r="BD103" s="156"/>
      <c r="BE103" s="156"/>
      <c r="BF103" s="156"/>
      <c r="BG103" s="156"/>
    </row>
    <row r="104" spans="2:59" ht="12.75"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782" t="str">
        <f t="shared" si="1"/>
        <v/>
      </c>
      <c r="Q104" s="160" t="str">
        <f>IF(Summary_Products!P88="","",INDEX(Translations!$C:$C,MATCH(Summary_Products!P88,Translations!$B:$B,0)))</f>
        <v/>
      </c>
      <c r="R104" s="160" t="str">
        <f>IF(Summary_Products!Q88="","",Summary_Products!Q88)</f>
        <v/>
      </c>
      <c r="S104" s="615" t="str">
        <f>IF(Summary_Products!R88="","",Summary_Products!R88)</f>
        <v/>
      </c>
      <c r="T104" s="615" t="str">
        <f>IF(Summary_Products!S88="","",Summary_Products!S88)</f>
        <v/>
      </c>
      <c r="U104" s="615" t="str">
        <f>IF(Summary_Products!T88="","",Summary_Products!T88)</f>
        <v/>
      </c>
      <c r="V104" s="615" t="str">
        <f>IF(Summary_Products!U88="","",Summary_Products!U88)</f>
        <v/>
      </c>
      <c r="W104" s="615" t="str">
        <f>IF(Summary_Products!V88="","",Summary_Products!V88)</f>
        <v/>
      </c>
      <c r="X104" s="615" t="str">
        <f>IF(Summary_Products!W88="","",Summary_Products!W88)</f>
        <v/>
      </c>
      <c r="Y104" s="615" t="str">
        <f>IF(Summary_Products!X88="","",Summary_Products!X88)</f>
        <v/>
      </c>
      <c r="Z104" s="615" t="str">
        <f>IF(Summary_Products!Y88="","",Summary_Products!Y88)</f>
        <v/>
      </c>
      <c r="AA104" s="615" t="str">
        <f>IF(Summary_Products!Z88="","",Summary_Products!Z88)</f>
        <v/>
      </c>
      <c r="AB104" s="615" t="str">
        <f>IF(Summary_Products!AA88="","",Summary_Products!AA88)</f>
        <v/>
      </c>
      <c r="AC104" s="615" t="str">
        <f>IF(Summary_Products!AB88="","",Summary_Products!AB88)</f>
        <v/>
      </c>
      <c r="AD104" s="615" t="str">
        <f>IF(Summary_Products!AC88="","",Summary_Products!AC88)</f>
        <v/>
      </c>
      <c r="AE104" s="615" t="str">
        <f>IF(Summary_Products!AD88="","",Summary_Products!AD88)</f>
        <v/>
      </c>
      <c r="AF104" s="615" t="str">
        <f>IF(Summary_Products!AE88="","",Summary_Products!AE88)</f>
        <v/>
      </c>
      <c r="AG104" s="615" t="str">
        <f>IF(Summary_Products!AF88="","",Summary_Products!AF88)</f>
        <v/>
      </c>
      <c r="AH104" s="615" t="str">
        <f>IF(Summary_Products!AG88="","",Summary_Products!AG88)</f>
        <v/>
      </c>
      <c r="AI104" s="615" t="str">
        <f>IF(Summary_Products!AH88="","",Summary_Products!AH88)</f>
        <v/>
      </c>
      <c r="AJ104" s="615" t="str">
        <f>IF(Summary_Products!AI88="","",Summary_Products!AI88)</f>
        <v/>
      </c>
      <c r="AK104" s="615" t="str">
        <f>IF(Summary_Products!AJ88="","",Summary_Products!AJ88)</f>
        <v/>
      </c>
      <c r="AL104" s="615" t="str">
        <f>IF(Summary_Products!AK88="","",Summary_Products!AK88)</f>
        <v/>
      </c>
      <c r="AM104" s="421" t="str">
        <f>IF(Summary_Products!AL88="","",INDEX(Translations!$C:$C,MATCH(Summary_Products!AL88,Translations!$B:$B,0)))</f>
        <v/>
      </c>
      <c r="AN104" s="615" t="str">
        <f>IF(Summary_Products!AM88="","",Summary_Products!AM88)</f>
        <v/>
      </c>
      <c r="AO104" s="473" t="str">
        <f>IF(Summary_Products!AN88="","",Summary_Products!AN88)</f>
        <v/>
      </c>
      <c r="AP104" s="474" t="str">
        <f>IF(Summary_Products!AO88="","",Summary_Products!AO88)</f>
        <v/>
      </c>
      <c r="AQ104" s="160" t="str">
        <f>IF(Summary_Products!AP88="","",Summary_Products!AP88)</f>
        <v/>
      </c>
      <c r="AR104" s="477" t="str">
        <f>IF(Summary_Products!AR88="","",Summary_Products!AR88)</f>
        <v/>
      </c>
      <c r="AS104" s="474" t="str">
        <f>IF(Summary_Products!AS88="","",Summary_Products!AS88)</f>
        <v/>
      </c>
      <c r="AT104" s="421" t="str">
        <f>IF(Summary_Products!AT88="","",INDEX(Translations!$C:$C,MATCH(Summary_Products!AT88,Translations!$B:$B,0)))</f>
        <v/>
      </c>
      <c r="AU104" s="615" t="str">
        <f>IF(Summary_Products!AU88="","",Summary_Products!AU88)</f>
        <v/>
      </c>
      <c r="AV104" s="473" t="str">
        <f>IF(Summary_Products!AV88="","",Summary_Products!AV88)</f>
        <v/>
      </c>
      <c r="AW104" s="474" t="str">
        <f>IF(Summary_Products!AW88="","",Summary_Products!AW88)</f>
        <v/>
      </c>
      <c r="AX104" s="477" t="str">
        <f>IF(Summary_Products!AX88="","",Summary_Products!AX88)</f>
        <v/>
      </c>
      <c r="AY104" s="474" t="str">
        <f>IF(Summary_Products!AY88="","",Summary_Products!AY88)</f>
        <v/>
      </c>
      <c r="AZ104" s="477" t="str">
        <f>IF(Summary_Products!AZ88="","",Summary_Products!AZ88)</f>
        <v/>
      </c>
      <c r="BA104" s="478" t="str">
        <f>IF(Summary_Products!BA88="","",Summary_Products!BA88)</f>
        <v/>
      </c>
      <c r="BD104" s="156"/>
      <c r="BE104" s="156"/>
      <c r="BF104" s="156"/>
      <c r="BG104" s="156"/>
    </row>
    <row r="105" spans="2:59" ht="12.75"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782" t="str">
        <f t="shared" si="1"/>
        <v/>
      </c>
      <c r="Q105" s="160" t="str">
        <f>IF(Summary_Products!P89="","",INDEX(Translations!$C:$C,MATCH(Summary_Products!P89,Translations!$B:$B,0)))</f>
        <v/>
      </c>
      <c r="R105" s="160" t="str">
        <f>IF(Summary_Products!Q89="","",Summary_Products!Q89)</f>
        <v/>
      </c>
      <c r="S105" s="615" t="str">
        <f>IF(Summary_Products!R89="","",Summary_Products!R89)</f>
        <v/>
      </c>
      <c r="T105" s="615" t="str">
        <f>IF(Summary_Products!S89="","",Summary_Products!S89)</f>
        <v/>
      </c>
      <c r="U105" s="615" t="str">
        <f>IF(Summary_Products!T89="","",Summary_Products!T89)</f>
        <v/>
      </c>
      <c r="V105" s="615" t="str">
        <f>IF(Summary_Products!U89="","",Summary_Products!U89)</f>
        <v/>
      </c>
      <c r="W105" s="615" t="str">
        <f>IF(Summary_Products!V89="","",Summary_Products!V89)</f>
        <v/>
      </c>
      <c r="X105" s="615" t="str">
        <f>IF(Summary_Products!W89="","",Summary_Products!W89)</f>
        <v/>
      </c>
      <c r="Y105" s="615" t="str">
        <f>IF(Summary_Products!X89="","",Summary_Products!X89)</f>
        <v/>
      </c>
      <c r="Z105" s="615" t="str">
        <f>IF(Summary_Products!Y89="","",Summary_Products!Y89)</f>
        <v/>
      </c>
      <c r="AA105" s="615" t="str">
        <f>IF(Summary_Products!Z89="","",Summary_Products!Z89)</f>
        <v/>
      </c>
      <c r="AB105" s="615" t="str">
        <f>IF(Summary_Products!AA89="","",Summary_Products!AA89)</f>
        <v/>
      </c>
      <c r="AC105" s="615" t="str">
        <f>IF(Summary_Products!AB89="","",Summary_Products!AB89)</f>
        <v/>
      </c>
      <c r="AD105" s="615" t="str">
        <f>IF(Summary_Products!AC89="","",Summary_Products!AC89)</f>
        <v/>
      </c>
      <c r="AE105" s="615" t="str">
        <f>IF(Summary_Products!AD89="","",Summary_Products!AD89)</f>
        <v/>
      </c>
      <c r="AF105" s="615" t="str">
        <f>IF(Summary_Products!AE89="","",Summary_Products!AE89)</f>
        <v/>
      </c>
      <c r="AG105" s="615" t="str">
        <f>IF(Summary_Products!AF89="","",Summary_Products!AF89)</f>
        <v/>
      </c>
      <c r="AH105" s="615" t="str">
        <f>IF(Summary_Products!AG89="","",Summary_Products!AG89)</f>
        <v/>
      </c>
      <c r="AI105" s="615" t="str">
        <f>IF(Summary_Products!AH89="","",Summary_Products!AH89)</f>
        <v/>
      </c>
      <c r="AJ105" s="615" t="str">
        <f>IF(Summary_Products!AI89="","",Summary_Products!AI89)</f>
        <v/>
      </c>
      <c r="AK105" s="615" t="str">
        <f>IF(Summary_Products!AJ89="","",Summary_Products!AJ89)</f>
        <v/>
      </c>
      <c r="AL105" s="615" t="str">
        <f>IF(Summary_Products!AK89="","",Summary_Products!AK89)</f>
        <v/>
      </c>
      <c r="AM105" s="421" t="str">
        <f>IF(Summary_Products!AL89="","",INDEX(Translations!$C:$C,MATCH(Summary_Products!AL89,Translations!$B:$B,0)))</f>
        <v/>
      </c>
      <c r="AN105" s="615" t="str">
        <f>IF(Summary_Products!AM89="","",Summary_Products!AM89)</f>
        <v/>
      </c>
      <c r="AO105" s="473" t="str">
        <f>IF(Summary_Products!AN89="","",Summary_Products!AN89)</f>
        <v/>
      </c>
      <c r="AP105" s="474" t="str">
        <f>IF(Summary_Products!AO89="","",Summary_Products!AO89)</f>
        <v/>
      </c>
      <c r="AQ105" s="160" t="str">
        <f>IF(Summary_Products!AP89="","",Summary_Products!AP89)</f>
        <v/>
      </c>
      <c r="AR105" s="477" t="str">
        <f>IF(Summary_Products!AR89="","",Summary_Products!AR89)</f>
        <v/>
      </c>
      <c r="AS105" s="474" t="str">
        <f>IF(Summary_Products!AS89="","",Summary_Products!AS89)</f>
        <v/>
      </c>
      <c r="AT105" s="421" t="str">
        <f>IF(Summary_Products!AT89="","",INDEX(Translations!$C:$C,MATCH(Summary_Products!AT89,Translations!$B:$B,0)))</f>
        <v/>
      </c>
      <c r="AU105" s="615" t="str">
        <f>IF(Summary_Products!AU89="","",Summary_Products!AU89)</f>
        <v/>
      </c>
      <c r="AV105" s="473" t="str">
        <f>IF(Summary_Products!AV89="","",Summary_Products!AV89)</f>
        <v/>
      </c>
      <c r="AW105" s="474" t="str">
        <f>IF(Summary_Products!AW89="","",Summary_Products!AW89)</f>
        <v/>
      </c>
      <c r="AX105" s="477" t="str">
        <f>IF(Summary_Products!AX89="","",Summary_Products!AX89)</f>
        <v/>
      </c>
      <c r="AY105" s="474" t="str">
        <f>IF(Summary_Products!AY89="","",Summary_Products!AY89)</f>
        <v/>
      </c>
      <c r="AZ105" s="477" t="str">
        <f>IF(Summary_Products!AZ89="","",Summary_Products!AZ89)</f>
        <v/>
      </c>
      <c r="BA105" s="478" t="str">
        <f>IF(Summary_Products!BA89="","",Summary_Products!BA89)</f>
        <v/>
      </c>
      <c r="BD105" s="156"/>
      <c r="BE105" s="156"/>
      <c r="BF105" s="156"/>
      <c r="BG105" s="156"/>
    </row>
    <row r="106" spans="2:59" ht="12.75"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782" t="str">
        <f t="shared" si="1"/>
        <v/>
      </c>
      <c r="Q106" s="160" t="str">
        <f>IF(Summary_Products!P90="","",INDEX(Translations!$C:$C,MATCH(Summary_Products!P90,Translations!$B:$B,0)))</f>
        <v/>
      </c>
      <c r="R106" s="160" t="str">
        <f>IF(Summary_Products!Q90="","",Summary_Products!Q90)</f>
        <v/>
      </c>
      <c r="S106" s="615" t="str">
        <f>IF(Summary_Products!R90="","",Summary_Products!R90)</f>
        <v/>
      </c>
      <c r="T106" s="615" t="str">
        <f>IF(Summary_Products!S90="","",Summary_Products!S90)</f>
        <v/>
      </c>
      <c r="U106" s="615" t="str">
        <f>IF(Summary_Products!T90="","",Summary_Products!T90)</f>
        <v/>
      </c>
      <c r="V106" s="615" t="str">
        <f>IF(Summary_Products!U90="","",Summary_Products!U90)</f>
        <v/>
      </c>
      <c r="W106" s="615" t="str">
        <f>IF(Summary_Products!V90="","",Summary_Products!V90)</f>
        <v/>
      </c>
      <c r="X106" s="615" t="str">
        <f>IF(Summary_Products!W90="","",Summary_Products!W90)</f>
        <v/>
      </c>
      <c r="Y106" s="615" t="str">
        <f>IF(Summary_Products!X90="","",Summary_Products!X90)</f>
        <v/>
      </c>
      <c r="Z106" s="615" t="str">
        <f>IF(Summary_Products!Y90="","",Summary_Products!Y90)</f>
        <v/>
      </c>
      <c r="AA106" s="615" t="str">
        <f>IF(Summary_Products!Z90="","",Summary_Products!Z90)</f>
        <v/>
      </c>
      <c r="AB106" s="615" t="str">
        <f>IF(Summary_Products!AA90="","",Summary_Products!AA90)</f>
        <v/>
      </c>
      <c r="AC106" s="615" t="str">
        <f>IF(Summary_Products!AB90="","",Summary_Products!AB90)</f>
        <v/>
      </c>
      <c r="AD106" s="615" t="str">
        <f>IF(Summary_Products!AC90="","",Summary_Products!AC90)</f>
        <v/>
      </c>
      <c r="AE106" s="615" t="str">
        <f>IF(Summary_Products!AD90="","",Summary_Products!AD90)</f>
        <v/>
      </c>
      <c r="AF106" s="615" t="str">
        <f>IF(Summary_Products!AE90="","",Summary_Products!AE90)</f>
        <v/>
      </c>
      <c r="AG106" s="615" t="str">
        <f>IF(Summary_Products!AF90="","",Summary_Products!AF90)</f>
        <v/>
      </c>
      <c r="AH106" s="615" t="str">
        <f>IF(Summary_Products!AG90="","",Summary_Products!AG90)</f>
        <v/>
      </c>
      <c r="AI106" s="615" t="str">
        <f>IF(Summary_Products!AH90="","",Summary_Products!AH90)</f>
        <v/>
      </c>
      <c r="AJ106" s="615" t="str">
        <f>IF(Summary_Products!AI90="","",Summary_Products!AI90)</f>
        <v/>
      </c>
      <c r="AK106" s="615" t="str">
        <f>IF(Summary_Products!AJ90="","",Summary_Products!AJ90)</f>
        <v/>
      </c>
      <c r="AL106" s="615" t="str">
        <f>IF(Summary_Products!AK90="","",Summary_Products!AK90)</f>
        <v/>
      </c>
      <c r="AM106" s="421" t="str">
        <f>IF(Summary_Products!AL90="","",INDEX(Translations!$C:$C,MATCH(Summary_Products!AL90,Translations!$B:$B,0)))</f>
        <v/>
      </c>
      <c r="AN106" s="615" t="str">
        <f>IF(Summary_Products!AM90="","",Summary_Products!AM90)</f>
        <v/>
      </c>
      <c r="AO106" s="473" t="str">
        <f>IF(Summary_Products!AN90="","",Summary_Products!AN90)</f>
        <v/>
      </c>
      <c r="AP106" s="474" t="str">
        <f>IF(Summary_Products!AO90="","",Summary_Products!AO90)</f>
        <v/>
      </c>
      <c r="AQ106" s="160" t="str">
        <f>IF(Summary_Products!AP90="","",Summary_Products!AP90)</f>
        <v/>
      </c>
      <c r="AR106" s="477" t="str">
        <f>IF(Summary_Products!AR90="","",Summary_Products!AR90)</f>
        <v/>
      </c>
      <c r="AS106" s="474" t="str">
        <f>IF(Summary_Products!AS90="","",Summary_Products!AS90)</f>
        <v/>
      </c>
      <c r="AT106" s="421" t="str">
        <f>IF(Summary_Products!AT90="","",INDEX(Translations!$C:$C,MATCH(Summary_Products!AT90,Translations!$B:$B,0)))</f>
        <v/>
      </c>
      <c r="AU106" s="615" t="str">
        <f>IF(Summary_Products!AU90="","",Summary_Products!AU90)</f>
        <v/>
      </c>
      <c r="AV106" s="473" t="str">
        <f>IF(Summary_Products!AV90="","",Summary_Products!AV90)</f>
        <v/>
      </c>
      <c r="AW106" s="474" t="str">
        <f>IF(Summary_Products!AW90="","",Summary_Products!AW90)</f>
        <v/>
      </c>
      <c r="AX106" s="477" t="str">
        <f>IF(Summary_Products!AX90="","",Summary_Products!AX90)</f>
        <v/>
      </c>
      <c r="AY106" s="474" t="str">
        <f>IF(Summary_Products!AY90="","",Summary_Products!AY90)</f>
        <v/>
      </c>
      <c r="AZ106" s="477" t="str">
        <f>IF(Summary_Products!AZ90="","",Summary_Products!AZ90)</f>
        <v/>
      </c>
      <c r="BA106" s="478" t="str">
        <f>IF(Summary_Products!BA90="","",Summary_Products!BA90)</f>
        <v/>
      </c>
      <c r="BD106" s="156"/>
      <c r="BE106" s="156"/>
      <c r="BF106" s="156"/>
      <c r="BG106" s="156"/>
    </row>
    <row r="107" spans="2:59" ht="12.75"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782" t="str">
        <f t="shared" si="1"/>
        <v/>
      </c>
      <c r="Q107" s="160" t="str">
        <f>IF(Summary_Products!P91="","",INDEX(Translations!$C:$C,MATCH(Summary_Products!P91,Translations!$B:$B,0)))</f>
        <v/>
      </c>
      <c r="R107" s="160" t="str">
        <f>IF(Summary_Products!Q91="","",Summary_Products!Q91)</f>
        <v/>
      </c>
      <c r="S107" s="615" t="str">
        <f>IF(Summary_Products!R91="","",Summary_Products!R91)</f>
        <v/>
      </c>
      <c r="T107" s="615" t="str">
        <f>IF(Summary_Products!S91="","",Summary_Products!S91)</f>
        <v/>
      </c>
      <c r="U107" s="615" t="str">
        <f>IF(Summary_Products!T91="","",Summary_Products!T91)</f>
        <v/>
      </c>
      <c r="V107" s="615" t="str">
        <f>IF(Summary_Products!U91="","",Summary_Products!U91)</f>
        <v/>
      </c>
      <c r="W107" s="615" t="str">
        <f>IF(Summary_Products!V91="","",Summary_Products!V91)</f>
        <v/>
      </c>
      <c r="X107" s="615" t="str">
        <f>IF(Summary_Products!W91="","",Summary_Products!W91)</f>
        <v/>
      </c>
      <c r="Y107" s="615" t="str">
        <f>IF(Summary_Products!X91="","",Summary_Products!X91)</f>
        <v/>
      </c>
      <c r="Z107" s="615" t="str">
        <f>IF(Summary_Products!Y91="","",Summary_Products!Y91)</f>
        <v/>
      </c>
      <c r="AA107" s="615" t="str">
        <f>IF(Summary_Products!Z91="","",Summary_Products!Z91)</f>
        <v/>
      </c>
      <c r="AB107" s="615" t="str">
        <f>IF(Summary_Products!AA91="","",Summary_Products!AA91)</f>
        <v/>
      </c>
      <c r="AC107" s="615" t="str">
        <f>IF(Summary_Products!AB91="","",Summary_Products!AB91)</f>
        <v/>
      </c>
      <c r="AD107" s="615" t="str">
        <f>IF(Summary_Products!AC91="","",Summary_Products!AC91)</f>
        <v/>
      </c>
      <c r="AE107" s="615" t="str">
        <f>IF(Summary_Products!AD91="","",Summary_Products!AD91)</f>
        <v/>
      </c>
      <c r="AF107" s="615" t="str">
        <f>IF(Summary_Products!AE91="","",Summary_Products!AE91)</f>
        <v/>
      </c>
      <c r="AG107" s="615" t="str">
        <f>IF(Summary_Products!AF91="","",Summary_Products!AF91)</f>
        <v/>
      </c>
      <c r="AH107" s="615" t="str">
        <f>IF(Summary_Products!AG91="","",Summary_Products!AG91)</f>
        <v/>
      </c>
      <c r="AI107" s="615" t="str">
        <f>IF(Summary_Products!AH91="","",Summary_Products!AH91)</f>
        <v/>
      </c>
      <c r="AJ107" s="615" t="str">
        <f>IF(Summary_Products!AI91="","",Summary_Products!AI91)</f>
        <v/>
      </c>
      <c r="AK107" s="615" t="str">
        <f>IF(Summary_Products!AJ91="","",Summary_Products!AJ91)</f>
        <v/>
      </c>
      <c r="AL107" s="615" t="str">
        <f>IF(Summary_Products!AK91="","",Summary_Products!AK91)</f>
        <v/>
      </c>
      <c r="AM107" s="421" t="str">
        <f>IF(Summary_Products!AL91="","",INDEX(Translations!$C:$C,MATCH(Summary_Products!AL91,Translations!$B:$B,0)))</f>
        <v/>
      </c>
      <c r="AN107" s="615" t="str">
        <f>IF(Summary_Products!AM91="","",Summary_Products!AM91)</f>
        <v/>
      </c>
      <c r="AO107" s="473" t="str">
        <f>IF(Summary_Products!AN91="","",Summary_Products!AN91)</f>
        <v/>
      </c>
      <c r="AP107" s="474" t="str">
        <f>IF(Summary_Products!AO91="","",Summary_Products!AO91)</f>
        <v/>
      </c>
      <c r="AQ107" s="160" t="str">
        <f>IF(Summary_Products!AP91="","",Summary_Products!AP91)</f>
        <v/>
      </c>
      <c r="AR107" s="477" t="str">
        <f>IF(Summary_Products!AR91="","",Summary_Products!AR91)</f>
        <v/>
      </c>
      <c r="AS107" s="474" t="str">
        <f>IF(Summary_Products!AS91="","",Summary_Products!AS91)</f>
        <v/>
      </c>
      <c r="AT107" s="421" t="str">
        <f>IF(Summary_Products!AT91="","",INDEX(Translations!$C:$C,MATCH(Summary_Products!AT91,Translations!$B:$B,0)))</f>
        <v/>
      </c>
      <c r="AU107" s="615" t="str">
        <f>IF(Summary_Products!AU91="","",Summary_Products!AU91)</f>
        <v/>
      </c>
      <c r="AV107" s="473" t="str">
        <f>IF(Summary_Products!AV91="","",Summary_Products!AV91)</f>
        <v/>
      </c>
      <c r="AW107" s="474" t="str">
        <f>IF(Summary_Products!AW91="","",Summary_Products!AW91)</f>
        <v/>
      </c>
      <c r="AX107" s="477" t="str">
        <f>IF(Summary_Products!AX91="","",Summary_Products!AX91)</f>
        <v/>
      </c>
      <c r="AY107" s="474" t="str">
        <f>IF(Summary_Products!AY91="","",Summary_Products!AY91)</f>
        <v/>
      </c>
      <c r="AZ107" s="477" t="str">
        <f>IF(Summary_Products!AZ91="","",Summary_Products!AZ91)</f>
        <v/>
      </c>
      <c r="BA107" s="478" t="str">
        <f>IF(Summary_Products!BA91="","",Summary_Products!BA91)</f>
        <v/>
      </c>
      <c r="BD107" s="156"/>
      <c r="BE107" s="156"/>
      <c r="BF107" s="156"/>
      <c r="BG107" s="156"/>
    </row>
    <row r="108" spans="2:59" ht="12.75"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782" t="str">
        <f t="shared" si="1"/>
        <v/>
      </c>
      <c r="Q108" s="160" t="str">
        <f>IF(Summary_Products!P92="","",INDEX(Translations!$C:$C,MATCH(Summary_Products!P92,Translations!$B:$B,0)))</f>
        <v/>
      </c>
      <c r="R108" s="160" t="str">
        <f>IF(Summary_Products!Q92="","",Summary_Products!Q92)</f>
        <v/>
      </c>
      <c r="S108" s="615" t="str">
        <f>IF(Summary_Products!R92="","",Summary_Products!R92)</f>
        <v/>
      </c>
      <c r="T108" s="615" t="str">
        <f>IF(Summary_Products!S92="","",Summary_Products!S92)</f>
        <v/>
      </c>
      <c r="U108" s="615" t="str">
        <f>IF(Summary_Products!T92="","",Summary_Products!T92)</f>
        <v/>
      </c>
      <c r="V108" s="615" t="str">
        <f>IF(Summary_Products!U92="","",Summary_Products!U92)</f>
        <v/>
      </c>
      <c r="W108" s="615" t="str">
        <f>IF(Summary_Products!V92="","",Summary_Products!V92)</f>
        <v/>
      </c>
      <c r="X108" s="615" t="str">
        <f>IF(Summary_Products!W92="","",Summary_Products!W92)</f>
        <v/>
      </c>
      <c r="Y108" s="615" t="str">
        <f>IF(Summary_Products!X92="","",Summary_Products!X92)</f>
        <v/>
      </c>
      <c r="Z108" s="615" t="str">
        <f>IF(Summary_Products!Y92="","",Summary_Products!Y92)</f>
        <v/>
      </c>
      <c r="AA108" s="615" t="str">
        <f>IF(Summary_Products!Z92="","",Summary_Products!Z92)</f>
        <v/>
      </c>
      <c r="AB108" s="615" t="str">
        <f>IF(Summary_Products!AA92="","",Summary_Products!AA92)</f>
        <v/>
      </c>
      <c r="AC108" s="615" t="str">
        <f>IF(Summary_Products!AB92="","",Summary_Products!AB92)</f>
        <v/>
      </c>
      <c r="AD108" s="615" t="str">
        <f>IF(Summary_Products!AC92="","",Summary_Products!AC92)</f>
        <v/>
      </c>
      <c r="AE108" s="615" t="str">
        <f>IF(Summary_Products!AD92="","",Summary_Products!AD92)</f>
        <v/>
      </c>
      <c r="AF108" s="615" t="str">
        <f>IF(Summary_Products!AE92="","",Summary_Products!AE92)</f>
        <v/>
      </c>
      <c r="AG108" s="615" t="str">
        <f>IF(Summary_Products!AF92="","",Summary_Products!AF92)</f>
        <v/>
      </c>
      <c r="AH108" s="615" t="str">
        <f>IF(Summary_Products!AG92="","",Summary_Products!AG92)</f>
        <v/>
      </c>
      <c r="AI108" s="615" t="str">
        <f>IF(Summary_Products!AH92="","",Summary_Products!AH92)</f>
        <v/>
      </c>
      <c r="AJ108" s="615" t="str">
        <f>IF(Summary_Products!AI92="","",Summary_Products!AI92)</f>
        <v/>
      </c>
      <c r="AK108" s="615" t="str">
        <f>IF(Summary_Products!AJ92="","",Summary_Products!AJ92)</f>
        <v/>
      </c>
      <c r="AL108" s="615" t="str">
        <f>IF(Summary_Products!AK92="","",Summary_Products!AK92)</f>
        <v/>
      </c>
      <c r="AM108" s="421" t="str">
        <f>IF(Summary_Products!AL92="","",INDEX(Translations!$C:$C,MATCH(Summary_Products!AL92,Translations!$B:$B,0)))</f>
        <v/>
      </c>
      <c r="AN108" s="615" t="str">
        <f>IF(Summary_Products!AM92="","",Summary_Products!AM92)</f>
        <v/>
      </c>
      <c r="AO108" s="473" t="str">
        <f>IF(Summary_Products!AN92="","",Summary_Products!AN92)</f>
        <v/>
      </c>
      <c r="AP108" s="474" t="str">
        <f>IF(Summary_Products!AO92="","",Summary_Products!AO92)</f>
        <v/>
      </c>
      <c r="AQ108" s="160" t="str">
        <f>IF(Summary_Products!AP92="","",Summary_Products!AP92)</f>
        <v/>
      </c>
      <c r="AR108" s="477" t="str">
        <f>IF(Summary_Products!AR92="","",Summary_Products!AR92)</f>
        <v/>
      </c>
      <c r="AS108" s="474" t="str">
        <f>IF(Summary_Products!AS92="","",Summary_Products!AS92)</f>
        <v/>
      </c>
      <c r="AT108" s="421" t="str">
        <f>IF(Summary_Products!AT92="","",INDEX(Translations!$C:$C,MATCH(Summary_Products!AT92,Translations!$B:$B,0)))</f>
        <v/>
      </c>
      <c r="AU108" s="615" t="str">
        <f>IF(Summary_Products!AU92="","",Summary_Products!AU92)</f>
        <v/>
      </c>
      <c r="AV108" s="473" t="str">
        <f>IF(Summary_Products!AV92="","",Summary_Products!AV92)</f>
        <v/>
      </c>
      <c r="AW108" s="474" t="str">
        <f>IF(Summary_Products!AW92="","",Summary_Products!AW92)</f>
        <v/>
      </c>
      <c r="AX108" s="477" t="str">
        <f>IF(Summary_Products!AX92="","",Summary_Products!AX92)</f>
        <v/>
      </c>
      <c r="AY108" s="474" t="str">
        <f>IF(Summary_Products!AY92="","",Summary_Products!AY92)</f>
        <v/>
      </c>
      <c r="AZ108" s="477" t="str">
        <f>IF(Summary_Products!AZ92="","",Summary_Products!AZ92)</f>
        <v/>
      </c>
      <c r="BA108" s="478" t="str">
        <f>IF(Summary_Products!BA92="","",Summary_Products!BA92)</f>
        <v/>
      </c>
      <c r="BD108" s="156"/>
      <c r="BE108" s="156"/>
      <c r="BF108" s="156"/>
      <c r="BG108" s="156"/>
    </row>
    <row r="109" spans="2:59" ht="12.75"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782" t="str">
        <f t="shared" si="1"/>
        <v/>
      </c>
      <c r="Q109" s="160" t="str">
        <f>IF(Summary_Products!P93="","",INDEX(Translations!$C:$C,MATCH(Summary_Products!P93,Translations!$B:$B,0)))</f>
        <v/>
      </c>
      <c r="R109" s="160" t="str">
        <f>IF(Summary_Products!Q93="","",Summary_Products!Q93)</f>
        <v/>
      </c>
      <c r="S109" s="615" t="str">
        <f>IF(Summary_Products!R93="","",Summary_Products!R93)</f>
        <v/>
      </c>
      <c r="T109" s="615" t="str">
        <f>IF(Summary_Products!S93="","",Summary_Products!S93)</f>
        <v/>
      </c>
      <c r="U109" s="615" t="str">
        <f>IF(Summary_Products!T93="","",Summary_Products!T93)</f>
        <v/>
      </c>
      <c r="V109" s="615" t="str">
        <f>IF(Summary_Products!U93="","",Summary_Products!U93)</f>
        <v/>
      </c>
      <c r="W109" s="615" t="str">
        <f>IF(Summary_Products!V93="","",Summary_Products!V93)</f>
        <v/>
      </c>
      <c r="X109" s="615" t="str">
        <f>IF(Summary_Products!W93="","",Summary_Products!W93)</f>
        <v/>
      </c>
      <c r="Y109" s="615" t="str">
        <f>IF(Summary_Products!X93="","",Summary_Products!X93)</f>
        <v/>
      </c>
      <c r="Z109" s="615" t="str">
        <f>IF(Summary_Products!Y93="","",Summary_Products!Y93)</f>
        <v/>
      </c>
      <c r="AA109" s="615" t="str">
        <f>IF(Summary_Products!Z93="","",Summary_Products!Z93)</f>
        <v/>
      </c>
      <c r="AB109" s="615" t="str">
        <f>IF(Summary_Products!AA93="","",Summary_Products!AA93)</f>
        <v/>
      </c>
      <c r="AC109" s="615" t="str">
        <f>IF(Summary_Products!AB93="","",Summary_Products!AB93)</f>
        <v/>
      </c>
      <c r="AD109" s="615" t="str">
        <f>IF(Summary_Products!AC93="","",Summary_Products!AC93)</f>
        <v/>
      </c>
      <c r="AE109" s="615" t="str">
        <f>IF(Summary_Products!AD93="","",Summary_Products!AD93)</f>
        <v/>
      </c>
      <c r="AF109" s="615" t="str">
        <f>IF(Summary_Products!AE93="","",Summary_Products!AE93)</f>
        <v/>
      </c>
      <c r="AG109" s="615" t="str">
        <f>IF(Summary_Products!AF93="","",Summary_Products!AF93)</f>
        <v/>
      </c>
      <c r="AH109" s="615" t="str">
        <f>IF(Summary_Products!AG93="","",Summary_Products!AG93)</f>
        <v/>
      </c>
      <c r="AI109" s="615" t="str">
        <f>IF(Summary_Products!AH93="","",Summary_Products!AH93)</f>
        <v/>
      </c>
      <c r="AJ109" s="615" t="str">
        <f>IF(Summary_Products!AI93="","",Summary_Products!AI93)</f>
        <v/>
      </c>
      <c r="AK109" s="615" t="str">
        <f>IF(Summary_Products!AJ93="","",Summary_Products!AJ93)</f>
        <v/>
      </c>
      <c r="AL109" s="615" t="str">
        <f>IF(Summary_Products!AK93="","",Summary_Products!AK93)</f>
        <v/>
      </c>
      <c r="AM109" s="421" t="str">
        <f>IF(Summary_Products!AL93="","",INDEX(Translations!$C:$C,MATCH(Summary_Products!AL93,Translations!$B:$B,0)))</f>
        <v/>
      </c>
      <c r="AN109" s="615" t="str">
        <f>IF(Summary_Products!AM93="","",Summary_Products!AM93)</f>
        <v/>
      </c>
      <c r="AO109" s="473" t="str">
        <f>IF(Summary_Products!AN93="","",Summary_Products!AN93)</f>
        <v/>
      </c>
      <c r="AP109" s="474" t="str">
        <f>IF(Summary_Products!AO93="","",Summary_Products!AO93)</f>
        <v/>
      </c>
      <c r="AQ109" s="160" t="str">
        <f>IF(Summary_Products!AP93="","",Summary_Products!AP93)</f>
        <v/>
      </c>
      <c r="AR109" s="477" t="str">
        <f>IF(Summary_Products!AR93="","",Summary_Products!AR93)</f>
        <v/>
      </c>
      <c r="AS109" s="474" t="str">
        <f>IF(Summary_Products!AS93="","",Summary_Products!AS93)</f>
        <v/>
      </c>
      <c r="AT109" s="421" t="str">
        <f>IF(Summary_Products!AT93="","",INDEX(Translations!$C:$C,MATCH(Summary_Products!AT93,Translations!$B:$B,0)))</f>
        <v/>
      </c>
      <c r="AU109" s="615" t="str">
        <f>IF(Summary_Products!AU93="","",Summary_Products!AU93)</f>
        <v/>
      </c>
      <c r="AV109" s="473" t="str">
        <f>IF(Summary_Products!AV93="","",Summary_Products!AV93)</f>
        <v/>
      </c>
      <c r="AW109" s="474" t="str">
        <f>IF(Summary_Products!AW93="","",Summary_Products!AW93)</f>
        <v/>
      </c>
      <c r="AX109" s="477" t="str">
        <f>IF(Summary_Products!AX93="","",Summary_Products!AX93)</f>
        <v/>
      </c>
      <c r="AY109" s="474" t="str">
        <f>IF(Summary_Products!AY93="","",Summary_Products!AY93)</f>
        <v/>
      </c>
      <c r="AZ109" s="477" t="str">
        <f>IF(Summary_Products!AZ93="","",Summary_Products!AZ93)</f>
        <v/>
      </c>
      <c r="BA109" s="478" t="str">
        <f>IF(Summary_Products!BA93="","",Summary_Products!BA93)</f>
        <v/>
      </c>
      <c r="BD109" s="156"/>
      <c r="BE109" s="156"/>
      <c r="BF109" s="156"/>
      <c r="BG109" s="156"/>
    </row>
    <row r="110" spans="2:59" ht="12.75"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782" t="str">
        <f t="shared" si="1"/>
        <v/>
      </c>
      <c r="Q110" s="160" t="str">
        <f>IF(Summary_Products!P94="","",INDEX(Translations!$C:$C,MATCH(Summary_Products!P94,Translations!$B:$B,0)))</f>
        <v/>
      </c>
      <c r="R110" s="160" t="str">
        <f>IF(Summary_Products!Q94="","",Summary_Products!Q94)</f>
        <v/>
      </c>
      <c r="S110" s="615" t="str">
        <f>IF(Summary_Products!R94="","",Summary_Products!R94)</f>
        <v/>
      </c>
      <c r="T110" s="615" t="str">
        <f>IF(Summary_Products!S94="","",Summary_Products!S94)</f>
        <v/>
      </c>
      <c r="U110" s="615" t="str">
        <f>IF(Summary_Products!T94="","",Summary_Products!T94)</f>
        <v/>
      </c>
      <c r="V110" s="615" t="str">
        <f>IF(Summary_Products!U94="","",Summary_Products!U94)</f>
        <v/>
      </c>
      <c r="W110" s="615" t="str">
        <f>IF(Summary_Products!V94="","",Summary_Products!V94)</f>
        <v/>
      </c>
      <c r="X110" s="615" t="str">
        <f>IF(Summary_Products!W94="","",Summary_Products!W94)</f>
        <v/>
      </c>
      <c r="Y110" s="615" t="str">
        <f>IF(Summary_Products!X94="","",Summary_Products!X94)</f>
        <v/>
      </c>
      <c r="Z110" s="615" t="str">
        <f>IF(Summary_Products!Y94="","",Summary_Products!Y94)</f>
        <v/>
      </c>
      <c r="AA110" s="615" t="str">
        <f>IF(Summary_Products!Z94="","",Summary_Products!Z94)</f>
        <v/>
      </c>
      <c r="AB110" s="615" t="str">
        <f>IF(Summary_Products!AA94="","",Summary_Products!AA94)</f>
        <v/>
      </c>
      <c r="AC110" s="615" t="str">
        <f>IF(Summary_Products!AB94="","",Summary_Products!AB94)</f>
        <v/>
      </c>
      <c r="AD110" s="615" t="str">
        <f>IF(Summary_Products!AC94="","",Summary_Products!AC94)</f>
        <v/>
      </c>
      <c r="AE110" s="615" t="str">
        <f>IF(Summary_Products!AD94="","",Summary_Products!AD94)</f>
        <v/>
      </c>
      <c r="AF110" s="615" t="str">
        <f>IF(Summary_Products!AE94="","",Summary_Products!AE94)</f>
        <v/>
      </c>
      <c r="AG110" s="615" t="str">
        <f>IF(Summary_Products!AF94="","",Summary_Products!AF94)</f>
        <v/>
      </c>
      <c r="AH110" s="615" t="str">
        <f>IF(Summary_Products!AG94="","",Summary_Products!AG94)</f>
        <v/>
      </c>
      <c r="AI110" s="615" t="str">
        <f>IF(Summary_Products!AH94="","",Summary_Products!AH94)</f>
        <v/>
      </c>
      <c r="AJ110" s="615" t="str">
        <f>IF(Summary_Products!AI94="","",Summary_Products!AI94)</f>
        <v/>
      </c>
      <c r="AK110" s="615" t="str">
        <f>IF(Summary_Products!AJ94="","",Summary_Products!AJ94)</f>
        <v/>
      </c>
      <c r="AL110" s="615" t="str">
        <f>IF(Summary_Products!AK94="","",Summary_Products!AK94)</f>
        <v/>
      </c>
      <c r="AM110" s="421" t="str">
        <f>IF(Summary_Products!AL94="","",INDEX(Translations!$C:$C,MATCH(Summary_Products!AL94,Translations!$B:$B,0)))</f>
        <v/>
      </c>
      <c r="AN110" s="615" t="str">
        <f>IF(Summary_Products!AM94="","",Summary_Products!AM94)</f>
        <v/>
      </c>
      <c r="AO110" s="473" t="str">
        <f>IF(Summary_Products!AN94="","",Summary_Products!AN94)</f>
        <v/>
      </c>
      <c r="AP110" s="474" t="str">
        <f>IF(Summary_Products!AO94="","",Summary_Products!AO94)</f>
        <v/>
      </c>
      <c r="AQ110" s="160" t="str">
        <f>IF(Summary_Products!AP94="","",Summary_Products!AP94)</f>
        <v/>
      </c>
      <c r="AR110" s="477" t="str">
        <f>IF(Summary_Products!AR94="","",Summary_Products!AR94)</f>
        <v/>
      </c>
      <c r="AS110" s="474" t="str">
        <f>IF(Summary_Products!AS94="","",Summary_Products!AS94)</f>
        <v/>
      </c>
      <c r="AT110" s="421" t="str">
        <f>IF(Summary_Products!AT94="","",INDEX(Translations!$C:$C,MATCH(Summary_Products!AT94,Translations!$B:$B,0)))</f>
        <v/>
      </c>
      <c r="AU110" s="615" t="str">
        <f>IF(Summary_Products!AU94="","",Summary_Products!AU94)</f>
        <v/>
      </c>
      <c r="AV110" s="473" t="str">
        <f>IF(Summary_Products!AV94="","",Summary_Products!AV94)</f>
        <v/>
      </c>
      <c r="AW110" s="474" t="str">
        <f>IF(Summary_Products!AW94="","",Summary_Products!AW94)</f>
        <v/>
      </c>
      <c r="AX110" s="477" t="str">
        <f>IF(Summary_Products!AX94="","",Summary_Products!AX94)</f>
        <v/>
      </c>
      <c r="AY110" s="474" t="str">
        <f>IF(Summary_Products!AY94="","",Summary_Products!AY94)</f>
        <v/>
      </c>
      <c r="AZ110" s="477" t="str">
        <f>IF(Summary_Products!AZ94="","",Summary_Products!AZ94)</f>
        <v/>
      </c>
      <c r="BA110" s="478" t="str">
        <f>IF(Summary_Products!BA94="","",Summary_Products!BA94)</f>
        <v/>
      </c>
      <c r="BD110" s="156"/>
      <c r="BE110" s="156"/>
      <c r="BF110" s="156"/>
      <c r="BG110" s="156"/>
    </row>
    <row r="111" spans="2:59" ht="12.75"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782" t="str">
        <f t="shared" si="1"/>
        <v/>
      </c>
      <c r="Q111" s="160" t="str">
        <f>IF(Summary_Products!P95="","",INDEX(Translations!$C:$C,MATCH(Summary_Products!P95,Translations!$B:$B,0)))</f>
        <v/>
      </c>
      <c r="R111" s="160" t="str">
        <f>IF(Summary_Products!Q95="","",Summary_Products!Q95)</f>
        <v/>
      </c>
      <c r="S111" s="615" t="str">
        <f>IF(Summary_Products!R95="","",Summary_Products!R95)</f>
        <v/>
      </c>
      <c r="T111" s="615" t="str">
        <f>IF(Summary_Products!S95="","",Summary_Products!S95)</f>
        <v/>
      </c>
      <c r="U111" s="615" t="str">
        <f>IF(Summary_Products!T95="","",Summary_Products!T95)</f>
        <v/>
      </c>
      <c r="V111" s="615" t="str">
        <f>IF(Summary_Products!U95="","",Summary_Products!U95)</f>
        <v/>
      </c>
      <c r="W111" s="615" t="str">
        <f>IF(Summary_Products!V95="","",Summary_Products!V95)</f>
        <v/>
      </c>
      <c r="X111" s="615" t="str">
        <f>IF(Summary_Products!W95="","",Summary_Products!W95)</f>
        <v/>
      </c>
      <c r="Y111" s="615" t="str">
        <f>IF(Summary_Products!X95="","",Summary_Products!X95)</f>
        <v/>
      </c>
      <c r="Z111" s="615" t="str">
        <f>IF(Summary_Products!Y95="","",Summary_Products!Y95)</f>
        <v/>
      </c>
      <c r="AA111" s="615" t="str">
        <f>IF(Summary_Products!Z95="","",Summary_Products!Z95)</f>
        <v/>
      </c>
      <c r="AB111" s="615" t="str">
        <f>IF(Summary_Products!AA95="","",Summary_Products!AA95)</f>
        <v/>
      </c>
      <c r="AC111" s="615" t="str">
        <f>IF(Summary_Products!AB95="","",Summary_Products!AB95)</f>
        <v/>
      </c>
      <c r="AD111" s="615" t="str">
        <f>IF(Summary_Products!AC95="","",Summary_Products!AC95)</f>
        <v/>
      </c>
      <c r="AE111" s="615" t="str">
        <f>IF(Summary_Products!AD95="","",Summary_Products!AD95)</f>
        <v/>
      </c>
      <c r="AF111" s="615" t="str">
        <f>IF(Summary_Products!AE95="","",Summary_Products!AE95)</f>
        <v/>
      </c>
      <c r="AG111" s="615" t="str">
        <f>IF(Summary_Products!AF95="","",Summary_Products!AF95)</f>
        <v/>
      </c>
      <c r="AH111" s="615" t="str">
        <f>IF(Summary_Products!AG95="","",Summary_Products!AG95)</f>
        <v/>
      </c>
      <c r="AI111" s="615" t="str">
        <f>IF(Summary_Products!AH95="","",Summary_Products!AH95)</f>
        <v/>
      </c>
      <c r="AJ111" s="615" t="str">
        <f>IF(Summary_Products!AI95="","",Summary_Products!AI95)</f>
        <v/>
      </c>
      <c r="AK111" s="615" t="str">
        <f>IF(Summary_Products!AJ95="","",Summary_Products!AJ95)</f>
        <v/>
      </c>
      <c r="AL111" s="615" t="str">
        <f>IF(Summary_Products!AK95="","",Summary_Products!AK95)</f>
        <v/>
      </c>
      <c r="AM111" s="421" t="str">
        <f>IF(Summary_Products!AL95="","",INDEX(Translations!$C:$C,MATCH(Summary_Products!AL95,Translations!$B:$B,0)))</f>
        <v/>
      </c>
      <c r="AN111" s="615" t="str">
        <f>IF(Summary_Products!AM95="","",Summary_Products!AM95)</f>
        <v/>
      </c>
      <c r="AO111" s="473" t="str">
        <f>IF(Summary_Products!AN95="","",Summary_Products!AN95)</f>
        <v/>
      </c>
      <c r="AP111" s="474" t="str">
        <f>IF(Summary_Products!AO95="","",Summary_Products!AO95)</f>
        <v/>
      </c>
      <c r="AQ111" s="160" t="str">
        <f>IF(Summary_Products!AP95="","",Summary_Products!AP95)</f>
        <v/>
      </c>
      <c r="AR111" s="477" t="str">
        <f>IF(Summary_Products!AR95="","",Summary_Products!AR95)</f>
        <v/>
      </c>
      <c r="AS111" s="474" t="str">
        <f>IF(Summary_Products!AS95="","",Summary_Products!AS95)</f>
        <v/>
      </c>
      <c r="AT111" s="421" t="str">
        <f>IF(Summary_Products!AT95="","",INDEX(Translations!$C:$C,MATCH(Summary_Products!AT95,Translations!$B:$B,0)))</f>
        <v/>
      </c>
      <c r="AU111" s="615" t="str">
        <f>IF(Summary_Products!AU95="","",Summary_Products!AU95)</f>
        <v/>
      </c>
      <c r="AV111" s="473" t="str">
        <f>IF(Summary_Products!AV95="","",Summary_Products!AV95)</f>
        <v/>
      </c>
      <c r="AW111" s="474" t="str">
        <f>IF(Summary_Products!AW95="","",Summary_Products!AW95)</f>
        <v/>
      </c>
      <c r="AX111" s="477" t="str">
        <f>IF(Summary_Products!AX95="","",Summary_Products!AX95)</f>
        <v/>
      </c>
      <c r="AY111" s="474" t="str">
        <f>IF(Summary_Products!AY95="","",Summary_Products!AY95)</f>
        <v/>
      </c>
      <c r="AZ111" s="477" t="str">
        <f>IF(Summary_Products!AZ95="","",Summary_Products!AZ95)</f>
        <v/>
      </c>
      <c r="BA111" s="478" t="str">
        <f>IF(Summary_Products!BA95="","",Summary_Products!BA95)</f>
        <v/>
      </c>
      <c r="BD111" s="156"/>
      <c r="BE111" s="156"/>
      <c r="BF111" s="156"/>
      <c r="BG111" s="156"/>
    </row>
    <row r="112" spans="2:59" ht="12.75"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782" t="str">
        <f t="shared" si="1"/>
        <v/>
      </c>
      <c r="Q112" s="160" t="str">
        <f>IF(Summary_Products!P96="","",INDEX(Translations!$C:$C,MATCH(Summary_Products!P96,Translations!$B:$B,0)))</f>
        <v/>
      </c>
      <c r="R112" s="160" t="str">
        <f>IF(Summary_Products!Q96="","",Summary_Products!Q96)</f>
        <v/>
      </c>
      <c r="S112" s="615" t="str">
        <f>IF(Summary_Products!R96="","",Summary_Products!R96)</f>
        <v/>
      </c>
      <c r="T112" s="615" t="str">
        <f>IF(Summary_Products!S96="","",Summary_Products!S96)</f>
        <v/>
      </c>
      <c r="U112" s="615" t="str">
        <f>IF(Summary_Products!T96="","",Summary_Products!T96)</f>
        <v/>
      </c>
      <c r="V112" s="615" t="str">
        <f>IF(Summary_Products!U96="","",Summary_Products!U96)</f>
        <v/>
      </c>
      <c r="W112" s="615" t="str">
        <f>IF(Summary_Products!V96="","",Summary_Products!V96)</f>
        <v/>
      </c>
      <c r="X112" s="615" t="str">
        <f>IF(Summary_Products!W96="","",Summary_Products!W96)</f>
        <v/>
      </c>
      <c r="Y112" s="615" t="str">
        <f>IF(Summary_Products!X96="","",Summary_Products!X96)</f>
        <v/>
      </c>
      <c r="Z112" s="615" t="str">
        <f>IF(Summary_Products!Y96="","",Summary_Products!Y96)</f>
        <v/>
      </c>
      <c r="AA112" s="615" t="str">
        <f>IF(Summary_Products!Z96="","",Summary_Products!Z96)</f>
        <v/>
      </c>
      <c r="AB112" s="615" t="str">
        <f>IF(Summary_Products!AA96="","",Summary_Products!AA96)</f>
        <v/>
      </c>
      <c r="AC112" s="615" t="str">
        <f>IF(Summary_Products!AB96="","",Summary_Products!AB96)</f>
        <v/>
      </c>
      <c r="AD112" s="615" t="str">
        <f>IF(Summary_Products!AC96="","",Summary_Products!AC96)</f>
        <v/>
      </c>
      <c r="AE112" s="615" t="str">
        <f>IF(Summary_Products!AD96="","",Summary_Products!AD96)</f>
        <v/>
      </c>
      <c r="AF112" s="615" t="str">
        <f>IF(Summary_Products!AE96="","",Summary_Products!AE96)</f>
        <v/>
      </c>
      <c r="AG112" s="615" t="str">
        <f>IF(Summary_Products!AF96="","",Summary_Products!AF96)</f>
        <v/>
      </c>
      <c r="AH112" s="615" t="str">
        <f>IF(Summary_Products!AG96="","",Summary_Products!AG96)</f>
        <v/>
      </c>
      <c r="AI112" s="615" t="str">
        <f>IF(Summary_Products!AH96="","",Summary_Products!AH96)</f>
        <v/>
      </c>
      <c r="AJ112" s="615" t="str">
        <f>IF(Summary_Products!AI96="","",Summary_Products!AI96)</f>
        <v/>
      </c>
      <c r="AK112" s="615" t="str">
        <f>IF(Summary_Products!AJ96="","",Summary_Products!AJ96)</f>
        <v/>
      </c>
      <c r="AL112" s="615" t="str">
        <f>IF(Summary_Products!AK96="","",Summary_Products!AK96)</f>
        <v/>
      </c>
      <c r="AM112" s="421" t="str">
        <f>IF(Summary_Products!AL96="","",INDEX(Translations!$C:$C,MATCH(Summary_Products!AL96,Translations!$B:$B,0)))</f>
        <v/>
      </c>
      <c r="AN112" s="615" t="str">
        <f>IF(Summary_Products!AM96="","",Summary_Products!AM96)</f>
        <v/>
      </c>
      <c r="AO112" s="473" t="str">
        <f>IF(Summary_Products!AN96="","",Summary_Products!AN96)</f>
        <v/>
      </c>
      <c r="AP112" s="474" t="str">
        <f>IF(Summary_Products!AO96="","",Summary_Products!AO96)</f>
        <v/>
      </c>
      <c r="AQ112" s="160" t="str">
        <f>IF(Summary_Products!AP96="","",Summary_Products!AP96)</f>
        <v/>
      </c>
      <c r="AR112" s="477" t="str">
        <f>IF(Summary_Products!AR96="","",Summary_Products!AR96)</f>
        <v/>
      </c>
      <c r="AS112" s="474" t="str">
        <f>IF(Summary_Products!AS96="","",Summary_Products!AS96)</f>
        <v/>
      </c>
      <c r="AT112" s="421" t="str">
        <f>IF(Summary_Products!AT96="","",INDEX(Translations!$C:$C,MATCH(Summary_Products!AT96,Translations!$B:$B,0)))</f>
        <v/>
      </c>
      <c r="AU112" s="615" t="str">
        <f>IF(Summary_Products!AU96="","",Summary_Products!AU96)</f>
        <v/>
      </c>
      <c r="AV112" s="473" t="str">
        <f>IF(Summary_Products!AV96="","",Summary_Products!AV96)</f>
        <v/>
      </c>
      <c r="AW112" s="474" t="str">
        <f>IF(Summary_Products!AW96="","",Summary_Products!AW96)</f>
        <v/>
      </c>
      <c r="AX112" s="477" t="str">
        <f>IF(Summary_Products!AX96="","",Summary_Products!AX96)</f>
        <v/>
      </c>
      <c r="AY112" s="474" t="str">
        <f>IF(Summary_Products!AY96="","",Summary_Products!AY96)</f>
        <v/>
      </c>
      <c r="AZ112" s="477" t="str">
        <f>IF(Summary_Products!AZ96="","",Summary_Products!AZ96)</f>
        <v/>
      </c>
      <c r="BA112" s="478" t="str">
        <f>IF(Summary_Products!BA96="","",Summary_Products!BA96)</f>
        <v/>
      </c>
      <c r="BD112" s="156"/>
      <c r="BE112" s="156"/>
      <c r="BF112" s="156"/>
      <c r="BG112" s="156"/>
    </row>
    <row r="113" spans="1:59" ht="12.75"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782" t="str">
        <f t="shared" si="1"/>
        <v/>
      </c>
      <c r="Q113" s="160" t="str">
        <f>IF(Summary_Products!P97="","",INDEX(Translations!$C:$C,MATCH(Summary_Products!P97,Translations!$B:$B,0)))</f>
        <v/>
      </c>
      <c r="R113" s="160" t="str">
        <f>IF(Summary_Products!Q97="","",Summary_Products!Q97)</f>
        <v/>
      </c>
      <c r="S113" s="615" t="str">
        <f>IF(Summary_Products!R97="","",Summary_Products!R97)</f>
        <v/>
      </c>
      <c r="T113" s="615" t="str">
        <f>IF(Summary_Products!S97="","",Summary_Products!S97)</f>
        <v/>
      </c>
      <c r="U113" s="615" t="str">
        <f>IF(Summary_Products!T97="","",Summary_Products!T97)</f>
        <v/>
      </c>
      <c r="V113" s="615" t="str">
        <f>IF(Summary_Products!U97="","",Summary_Products!U97)</f>
        <v/>
      </c>
      <c r="W113" s="615" t="str">
        <f>IF(Summary_Products!V97="","",Summary_Products!V97)</f>
        <v/>
      </c>
      <c r="X113" s="615" t="str">
        <f>IF(Summary_Products!W97="","",Summary_Products!W97)</f>
        <v/>
      </c>
      <c r="Y113" s="615" t="str">
        <f>IF(Summary_Products!X97="","",Summary_Products!X97)</f>
        <v/>
      </c>
      <c r="Z113" s="615" t="str">
        <f>IF(Summary_Products!Y97="","",Summary_Products!Y97)</f>
        <v/>
      </c>
      <c r="AA113" s="615" t="str">
        <f>IF(Summary_Products!Z97="","",Summary_Products!Z97)</f>
        <v/>
      </c>
      <c r="AB113" s="615" t="str">
        <f>IF(Summary_Products!AA97="","",Summary_Products!AA97)</f>
        <v/>
      </c>
      <c r="AC113" s="615" t="str">
        <f>IF(Summary_Products!AB97="","",Summary_Products!AB97)</f>
        <v/>
      </c>
      <c r="AD113" s="615" t="str">
        <f>IF(Summary_Products!AC97="","",Summary_Products!AC97)</f>
        <v/>
      </c>
      <c r="AE113" s="615" t="str">
        <f>IF(Summary_Products!AD97="","",Summary_Products!AD97)</f>
        <v/>
      </c>
      <c r="AF113" s="615" t="str">
        <f>IF(Summary_Products!AE97="","",Summary_Products!AE97)</f>
        <v/>
      </c>
      <c r="AG113" s="615" t="str">
        <f>IF(Summary_Products!AF97="","",Summary_Products!AF97)</f>
        <v/>
      </c>
      <c r="AH113" s="615" t="str">
        <f>IF(Summary_Products!AG97="","",Summary_Products!AG97)</f>
        <v/>
      </c>
      <c r="AI113" s="615" t="str">
        <f>IF(Summary_Products!AH97="","",Summary_Products!AH97)</f>
        <v/>
      </c>
      <c r="AJ113" s="615" t="str">
        <f>IF(Summary_Products!AI97="","",Summary_Products!AI97)</f>
        <v/>
      </c>
      <c r="AK113" s="615" t="str">
        <f>IF(Summary_Products!AJ97="","",Summary_Products!AJ97)</f>
        <v/>
      </c>
      <c r="AL113" s="615" t="str">
        <f>IF(Summary_Products!AK97="","",Summary_Products!AK97)</f>
        <v/>
      </c>
      <c r="AM113" s="421" t="str">
        <f>IF(Summary_Products!AL97="","",INDEX(Translations!$C:$C,MATCH(Summary_Products!AL97,Translations!$B:$B,0)))</f>
        <v/>
      </c>
      <c r="AN113" s="615" t="str">
        <f>IF(Summary_Products!AM97="","",Summary_Products!AM97)</f>
        <v/>
      </c>
      <c r="AO113" s="473" t="str">
        <f>IF(Summary_Products!AN97="","",Summary_Products!AN97)</f>
        <v/>
      </c>
      <c r="AP113" s="474" t="str">
        <f>IF(Summary_Products!AO97="","",Summary_Products!AO97)</f>
        <v/>
      </c>
      <c r="AQ113" s="160" t="str">
        <f>IF(Summary_Products!AP97="","",Summary_Products!AP97)</f>
        <v/>
      </c>
      <c r="AR113" s="477" t="str">
        <f>IF(Summary_Products!AR97="","",Summary_Products!AR97)</f>
        <v/>
      </c>
      <c r="AS113" s="474" t="str">
        <f>IF(Summary_Products!AS97="","",Summary_Products!AS97)</f>
        <v/>
      </c>
      <c r="AT113" s="421" t="str">
        <f>IF(Summary_Products!AT97="","",INDEX(Translations!$C:$C,MATCH(Summary_Products!AT97,Translations!$B:$B,0)))</f>
        <v/>
      </c>
      <c r="AU113" s="615" t="str">
        <f>IF(Summary_Products!AU97="","",Summary_Products!AU97)</f>
        <v/>
      </c>
      <c r="AV113" s="473" t="str">
        <f>IF(Summary_Products!AV97="","",Summary_Products!AV97)</f>
        <v/>
      </c>
      <c r="AW113" s="474" t="str">
        <f>IF(Summary_Products!AW97="","",Summary_Products!AW97)</f>
        <v/>
      </c>
      <c r="AX113" s="477" t="str">
        <f>IF(Summary_Products!AX97="","",Summary_Products!AX97)</f>
        <v/>
      </c>
      <c r="AY113" s="474" t="str">
        <f>IF(Summary_Products!AY97="","",Summary_Products!AY97)</f>
        <v/>
      </c>
      <c r="AZ113" s="477" t="str">
        <f>IF(Summary_Products!AZ97="","",Summary_Products!AZ97)</f>
        <v/>
      </c>
      <c r="BA113" s="478" t="str">
        <f>IF(Summary_Products!BA97="","",Summary_Products!BA97)</f>
        <v/>
      </c>
      <c r="BD113" s="156"/>
      <c r="BE113" s="156"/>
      <c r="BF113" s="156"/>
      <c r="BG113" s="156"/>
    </row>
    <row r="114" spans="1:59" ht="12.75"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782" t="str">
        <f t="shared" si="1"/>
        <v/>
      </c>
      <c r="Q114" s="160" t="str">
        <f>IF(Summary_Products!P98="","",INDEX(Translations!$C:$C,MATCH(Summary_Products!P98,Translations!$B:$B,0)))</f>
        <v/>
      </c>
      <c r="R114" s="160" t="str">
        <f>IF(Summary_Products!Q98="","",Summary_Products!Q98)</f>
        <v/>
      </c>
      <c r="S114" s="615" t="str">
        <f>IF(Summary_Products!R98="","",Summary_Products!R98)</f>
        <v/>
      </c>
      <c r="T114" s="615" t="str">
        <f>IF(Summary_Products!S98="","",Summary_Products!S98)</f>
        <v/>
      </c>
      <c r="U114" s="615" t="str">
        <f>IF(Summary_Products!T98="","",Summary_Products!T98)</f>
        <v/>
      </c>
      <c r="V114" s="615" t="str">
        <f>IF(Summary_Products!U98="","",Summary_Products!U98)</f>
        <v/>
      </c>
      <c r="W114" s="615" t="str">
        <f>IF(Summary_Products!V98="","",Summary_Products!V98)</f>
        <v/>
      </c>
      <c r="X114" s="615" t="str">
        <f>IF(Summary_Products!W98="","",Summary_Products!W98)</f>
        <v/>
      </c>
      <c r="Y114" s="615" t="str">
        <f>IF(Summary_Products!X98="","",Summary_Products!X98)</f>
        <v/>
      </c>
      <c r="Z114" s="615" t="str">
        <f>IF(Summary_Products!Y98="","",Summary_Products!Y98)</f>
        <v/>
      </c>
      <c r="AA114" s="615" t="str">
        <f>IF(Summary_Products!Z98="","",Summary_Products!Z98)</f>
        <v/>
      </c>
      <c r="AB114" s="615" t="str">
        <f>IF(Summary_Products!AA98="","",Summary_Products!AA98)</f>
        <v/>
      </c>
      <c r="AC114" s="615" t="str">
        <f>IF(Summary_Products!AB98="","",Summary_Products!AB98)</f>
        <v/>
      </c>
      <c r="AD114" s="615" t="str">
        <f>IF(Summary_Products!AC98="","",Summary_Products!AC98)</f>
        <v/>
      </c>
      <c r="AE114" s="615" t="str">
        <f>IF(Summary_Products!AD98="","",Summary_Products!AD98)</f>
        <v/>
      </c>
      <c r="AF114" s="615" t="str">
        <f>IF(Summary_Products!AE98="","",Summary_Products!AE98)</f>
        <v/>
      </c>
      <c r="AG114" s="615" t="str">
        <f>IF(Summary_Products!AF98="","",Summary_Products!AF98)</f>
        <v/>
      </c>
      <c r="AH114" s="615" t="str">
        <f>IF(Summary_Products!AG98="","",Summary_Products!AG98)</f>
        <v/>
      </c>
      <c r="AI114" s="615" t="str">
        <f>IF(Summary_Products!AH98="","",Summary_Products!AH98)</f>
        <v/>
      </c>
      <c r="AJ114" s="615" t="str">
        <f>IF(Summary_Products!AI98="","",Summary_Products!AI98)</f>
        <v/>
      </c>
      <c r="AK114" s="615" t="str">
        <f>IF(Summary_Products!AJ98="","",Summary_Products!AJ98)</f>
        <v/>
      </c>
      <c r="AL114" s="615" t="str">
        <f>IF(Summary_Products!AK98="","",Summary_Products!AK98)</f>
        <v/>
      </c>
      <c r="AM114" s="421" t="str">
        <f>IF(Summary_Products!AL98="","",INDEX(Translations!$C:$C,MATCH(Summary_Products!AL98,Translations!$B:$B,0)))</f>
        <v/>
      </c>
      <c r="AN114" s="615" t="str">
        <f>IF(Summary_Products!AM98="","",Summary_Products!AM98)</f>
        <v/>
      </c>
      <c r="AO114" s="473" t="str">
        <f>IF(Summary_Products!AN98="","",Summary_Products!AN98)</f>
        <v/>
      </c>
      <c r="AP114" s="474" t="str">
        <f>IF(Summary_Products!AO98="","",Summary_Products!AO98)</f>
        <v/>
      </c>
      <c r="AQ114" s="160" t="str">
        <f>IF(Summary_Products!AP98="","",Summary_Products!AP98)</f>
        <v/>
      </c>
      <c r="AR114" s="477" t="str">
        <f>IF(Summary_Products!AR98="","",Summary_Products!AR98)</f>
        <v/>
      </c>
      <c r="AS114" s="474" t="str">
        <f>IF(Summary_Products!AS98="","",Summary_Products!AS98)</f>
        <v/>
      </c>
      <c r="AT114" s="421" t="str">
        <f>IF(Summary_Products!AT98="","",INDEX(Translations!$C:$C,MATCH(Summary_Products!AT98,Translations!$B:$B,0)))</f>
        <v/>
      </c>
      <c r="AU114" s="615" t="str">
        <f>IF(Summary_Products!AU98="","",Summary_Products!AU98)</f>
        <v/>
      </c>
      <c r="AV114" s="473" t="str">
        <f>IF(Summary_Products!AV98="","",Summary_Products!AV98)</f>
        <v/>
      </c>
      <c r="AW114" s="474" t="str">
        <f>IF(Summary_Products!AW98="","",Summary_Products!AW98)</f>
        <v/>
      </c>
      <c r="AX114" s="477" t="str">
        <f>IF(Summary_Products!AX98="","",Summary_Products!AX98)</f>
        <v/>
      </c>
      <c r="AY114" s="474" t="str">
        <f>IF(Summary_Products!AY98="","",Summary_Products!AY98)</f>
        <v/>
      </c>
      <c r="AZ114" s="477" t="str">
        <f>IF(Summary_Products!AZ98="","",Summary_Products!AZ98)</f>
        <v/>
      </c>
      <c r="BA114" s="478" t="str">
        <f>IF(Summary_Products!BA98="","",Summary_Products!BA98)</f>
        <v/>
      </c>
      <c r="BD114" s="156"/>
      <c r="BE114" s="156"/>
      <c r="BF114" s="156"/>
      <c r="BG114" s="156"/>
    </row>
    <row r="115" spans="1:59" ht="12.75"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782" t="str">
        <f t="shared" si="1"/>
        <v/>
      </c>
      <c r="Q115" s="160" t="str">
        <f>IF(Summary_Products!P99="","",INDEX(Translations!$C:$C,MATCH(Summary_Products!P99,Translations!$B:$B,0)))</f>
        <v/>
      </c>
      <c r="R115" s="160" t="str">
        <f>IF(Summary_Products!Q99="","",Summary_Products!Q99)</f>
        <v/>
      </c>
      <c r="S115" s="615" t="str">
        <f>IF(Summary_Products!R99="","",Summary_Products!R99)</f>
        <v/>
      </c>
      <c r="T115" s="615" t="str">
        <f>IF(Summary_Products!S99="","",Summary_Products!S99)</f>
        <v/>
      </c>
      <c r="U115" s="615" t="str">
        <f>IF(Summary_Products!T99="","",Summary_Products!T99)</f>
        <v/>
      </c>
      <c r="V115" s="615" t="str">
        <f>IF(Summary_Products!U99="","",Summary_Products!U99)</f>
        <v/>
      </c>
      <c r="W115" s="615" t="str">
        <f>IF(Summary_Products!V99="","",Summary_Products!V99)</f>
        <v/>
      </c>
      <c r="X115" s="615" t="str">
        <f>IF(Summary_Products!W99="","",Summary_Products!W99)</f>
        <v/>
      </c>
      <c r="Y115" s="615" t="str">
        <f>IF(Summary_Products!X99="","",Summary_Products!X99)</f>
        <v/>
      </c>
      <c r="Z115" s="615" t="str">
        <f>IF(Summary_Products!Y99="","",Summary_Products!Y99)</f>
        <v/>
      </c>
      <c r="AA115" s="615" t="str">
        <f>IF(Summary_Products!Z99="","",Summary_Products!Z99)</f>
        <v/>
      </c>
      <c r="AB115" s="615" t="str">
        <f>IF(Summary_Products!AA99="","",Summary_Products!AA99)</f>
        <v/>
      </c>
      <c r="AC115" s="615" t="str">
        <f>IF(Summary_Products!AB99="","",Summary_Products!AB99)</f>
        <v/>
      </c>
      <c r="AD115" s="615" t="str">
        <f>IF(Summary_Products!AC99="","",Summary_Products!AC99)</f>
        <v/>
      </c>
      <c r="AE115" s="615" t="str">
        <f>IF(Summary_Products!AD99="","",Summary_Products!AD99)</f>
        <v/>
      </c>
      <c r="AF115" s="615" t="str">
        <f>IF(Summary_Products!AE99="","",Summary_Products!AE99)</f>
        <v/>
      </c>
      <c r="AG115" s="615" t="str">
        <f>IF(Summary_Products!AF99="","",Summary_Products!AF99)</f>
        <v/>
      </c>
      <c r="AH115" s="615" t="str">
        <f>IF(Summary_Products!AG99="","",Summary_Products!AG99)</f>
        <v/>
      </c>
      <c r="AI115" s="615" t="str">
        <f>IF(Summary_Products!AH99="","",Summary_Products!AH99)</f>
        <v/>
      </c>
      <c r="AJ115" s="615" t="str">
        <f>IF(Summary_Products!AI99="","",Summary_Products!AI99)</f>
        <v/>
      </c>
      <c r="AK115" s="615" t="str">
        <f>IF(Summary_Products!AJ99="","",Summary_Products!AJ99)</f>
        <v/>
      </c>
      <c r="AL115" s="615" t="str">
        <f>IF(Summary_Products!AK99="","",Summary_Products!AK99)</f>
        <v/>
      </c>
      <c r="AM115" s="421" t="str">
        <f>IF(Summary_Products!AL99="","",INDEX(Translations!$C:$C,MATCH(Summary_Products!AL99,Translations!$B:$B,0)))</f>
        <v/>
      </c>
      <c r="AN115" s="615" t="str">
        <f>IF(Summary_Products!AM99="","",Summary_Products!AM99)</f>
        <v/>
      </c>
      <c r="AO115" s="473" t="str">
        <f>IF(Summary_Products!AN99="","",Summary_Products!AN99)</f>
        <v/>
      </c>
      <c r="AP115" s="474" t="str">
        <f>IF(Summary_Products!AO99="","",Summary_Products!AO99)</f>
        <v/>
      </c>
      <c r="AQ115" s="160" t="str">
        <f>IF(Summary_Products!AP99="","",Summary_Products!AP99)</f>
        <v/>
      </c>
      <c r="AR115" s="477" t="str">
        <f>IF(Summary_Products!AR99="","",Summary_Products!AR99)</f>
        <v/>
      </c>
      <c r="AS115" s="474" t="str">
        <f>IF(Summary_Products!AS99="","",Summary_Products!AS99)</f>
        <v/>
      </c>
      <c r="AT115" s="421" t="str">
        <f>IF(Summary_Products!AT99="","",INDEX(Translations!$C:$C,MATCH(Summary_Products!AT99,Translations!$B:$B,0)))</f>
        <v/>
      </c>
      <c r="AU115" s="615" t="str">
        <f>IF(Summary_Products!AU99="","",Summary_Products!AU99)</f>
        <v/>
      </c>
      <c r="AV115" s="473" t="str">
        <f>IF(Summary_Products!AV99="","",Summary_Products!AV99)</f>
        <v/>
      </c>
      <c r="AW115" s="474" t="str">
        <f>IF(Summary_Products!AW99="","",Summary_Products!AW99)</f>
        <v/>
      </c>
      <c r="AX115" s="477" t="str">
        <f>IF(Summary_Products!AX99="","",Summary_Products!AX99)</f>
        <v/>
      </c>
      <c r="AY115" s="474" t="str">
        <f>IF(Summary_Products!AY99="","",Summary_Products!AY99)</f>
        <v/>
      </c>
      <c r="AZ115" s="477" t="str">
        <f>IF(Summary_Products!AZ99="","",Summary_Products!AZ99)</f>
        <v/>
      </c>
      <c r="BA115" s="478" t="str">
        <f>IF(Summary_Products!BA99="","",Summary_Products!BA99)</f>
        <v/>
      </c>
      <c r="BD115" s="156"/>
      <c r="BE115" s="156"/>
      <c r="BF115" s="156"/>
      <c r="BG115" s="156"/>
    </row>
    <row r="116" spans="1:59" ht="12.75"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782" t="str">
        <f t="shared" si="1"/>
        <v/>
      </c>
      <c r="Q116" s="160" t="str">
        <f>IF(Summary_Products!P100="","",INDEX(Translations!$C:$C,MATCH(Summary_Products!P100,Translations!$B:$B,0)))</f>
        <v/>
      </c>
      <c r="R116" s="160" t="str">
        <f>IF(Summary_Products!Q100="","",Summary_Products!Q100)</f>
        <v/>
      </c>
      <c r="S116" s="615" t="str">
        <f>IF(Summary_Products!R100="","",Summary_Products!R100)</f>
        <v/>
      </c>
      <c r="T116" s="615" t="str">
        <f>IF(Summary_Products!S100="","",Summary_Products!S100)</f>
        <v/>
      </c>
      <c r="U116" s="615" t="str">
        <f>IF(Summary_Products!T100="","",Summary_Products!T100)</f>
        <v/>
      </c>
      <c r="V116" s="615" t="str">
        <f>IF(Summary_Products!U100="","",Summary_Products!U100)</f>
        <v/>
      </c>
      <c r="W116" s="615" t="str">
        <f>IF(Summary_Products!V100="","",Summary_Products!V100)</f>
        <v/>
      </c>
      <c r="X116" s="615" t="str">
        <f>IF(Summary_Products!W100="","",Summary_Products!W100)</f>
        <v/>
      </c>
      <c r="Y116" s="615" t="str">
        <f>IF(Summary_Products!X100="","",Summary_Products!X100)</f>
        <v/>
      </c>
      <c r="Z116" s="615" t="str">
        <f>IF(Summary_Products!Y100="","",Summary_Products!Y100)</f>
        <v/>
      </c>
      <c r="AA116" s="615" t="str">
        <f>IF(Summary_Products!Z100="","",Summary_Products!Z100)</f>
        <v/>
      </c>
      <c r="AB116" s="615" t="str">
        <f>IF(Summary_Products!AA100="","",Summary_Products!AA100)</f>
        <v/>
      </c>
      <c r="AC116" s="615" t="str">
        <f>IF(Summary_Products!AB100="","",Summary_Products!AB100)</f>
        <v/>
      </c>
      <c r="AD116" s="615" t="str">
        <f>IF(Summary_Products!AC100="","",Summary_Products!AC100)</f>
        <v/>
      </c>
      <c r="AE116" s="615" t="str">
        <f>IF(Summary_Products!AD100="","",Summary_Products!AD100)</f>
        <v/>
      </c>
      <c r="AF116" s="615" t="str">
        <f>IF(Summary_Products!AE100="","",Summary_Products!AE100)</f>
        <v/>
      </c>
      <c r="AG116" s="615" t="str">
        <f>IF(Summary_Products!AF100="","",Summary_Products!AF100)</f>
        <v/>
      </c>
      <c r="AH116" s="615" t="str">
        <f>IF(Summary_Products!AG100="","",Summary_Products!AG100)</f>
        <v/>
      </c>
      <c r="AI116" s="615" t="str">
        <f>IF(Summary_Products!AH100="","",Summary_Products!AH100)</f>
        <v/>
      </c>
      <c r="AJ116" s="615" t="str">
        <f>IF(Summary_Products!AI100="","",Summary_Products!AI100)</f>
        <v/>
      </c>
      <c r="AK116" s="615" t="str">
        <f>IF(Summary_Products!AJ100="","",Summary_Products!AJ100)</f>
        <v/>
      </c>
      <c r="AL116" s="615" t="str">
        <f>IF(Summary_Products!AK100="","",Summary_Products!AK100)</f>
        <v/>
      </c>
      <c r="AM116" s="421" t="str">
        <f>IF(Summary_Products!AL100="","",INDEX(Translations!$C:$C,MATCH(Summary_Products!AL100,Translations!$B:$B,0)))</f>
        <v/>
      </c>
      <c r="AN116" s="615" t="str">
        <f>IF(Summary_Products!AM100="","",Summary_Products!AM100)</f>
        <v/>
      </c>
      <c r="AO116" s="473" t="str">
        <f>IF(Summary_Products!AN100="","",Summary_Products!AN100)</f>
        <v/>
      </c>
      <c r="AP116" s="474" t="str">
        <f>IF(Summary_Products!AO100="","",Summary_Products!AO100)</f>
        <v/>
      </c>
      <c r="AQ116" s="160" t="str">
        <f>IF(Summary_Products!AP100="","",Summary_Products!AP100)</f>
        <v/>
      </c>
      <c r="AR116" s="477" t="str">
        <f>IF(Summary_Products!AR100="","",Summary_Products!AR100)</f>
        <v/>
      </c>
      <c r="AS116" s="474" t="str">
        <f>IF(Summary_Products!AS100="","",Summary_Products!AS100)</f>
        <v/>
      </c>
      <c r="AT116" s="421" t="str">
        <f>IF(Summary_Products!AT100="","",INDEX(Translations!$C:$C,MATCH(Summary_Products!AT100,Translations!$B:$B,0)))</f>
        <v/>
      </c>
      <c r="AU116" s="615" t="str">
        <f>IF(Summary_Products!AU100="","",Summary_Products!AU100)</f>
        <v/>
      </c>
      <c r="AV116" s="473" t="str">
        <f>IF(Summary_Products!AV100="","",Summary_Products!AV100)</f>
        <v/>
      </c>
      <c r="AW116" s="474" t="str">
        <f>IF(Summary_Products!AW100="","",Summary_Products!AW100)</f>
        <v/>
      </c>
      <c r="AX116" s="477" t="str">
        <f>IF(Summary_Products!AX100="","",Summary_Products!AX100)</f>
        <v/>
      </c>
      <c r="AY116" s="474" t="str">
        <f>IF(Summary_Products!AY100="","",Summary_Products!AY100)</f>
        <v/>
      </c>
      <c r="AZ116" s="477" t="str">
        <f>IF(Summary_Products!AZ100="","",Summary_Products!AZ100)</f>
        <v/>
      </c>
      <c r="BA116" s="478" t="str">
        <f>IF(Summary_Products!BA100="","",Summary_Products!BA100)</f>
        <v/>
      </c>
      <c r="BD116" s="156"/>
      <c r="BE116" s="156"/>
      <c r="BF116" s="156"/>
      <c r="BG116" s="156"/>
    </row>
    <row r="117" spans="1:59" ht="12.75"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782" t="str">
        <f t="shared" si="1"/>
        <v/>
      </c>
      <c r="Q117" s="160" t="str">
        <f>IF(Summary_Products!P101="","",INDEX(Translations!$C:$C,MATCH(Summary_Products!P101,Translations!$B:$B,0)))</f>
        <v/>
      </c>
      <c r="R117" s="160" t="str">
        <f>IF(Summary_Products!Q101="","",Summary_Products!Q101)</f>
        <v/>
      </c>
      <c r="S117" s="615" t="str">
        <f>IF(Summary_Products!R101="","",Summary_Products!R101)</f>
        <v/>
      </c>
      <c r="T117" s="615" t="str">
        <f>IF(Summary_Products!S101="","",Summary_Products!S101)</f>
        <v/>
      </c>
      <c r="U117" s="615" t="str">
        <f>IF(Summary_Products!T101="","",Summary_Products!T101)</f>
        <v/>
      </c>
      <c r="V117" s="615" t="str">
        <f>IF(Summary_Products!U101="","",Summary_Products!U101)</f>
        <v/>
      </c>
      <c r="W117" s="615" t="str">
        <f>IF(Summary_Products!V101="","",Summary_Products!V101)</f>
        <v/>
      </c>
      <c r="X117" s="615" t="str">
        <f>IF(Summary_Products!W101="","",Summary_Products!W101)</f>
        <v/>
      </c>
      <c r="Y117" s="615" t="str">
        <f>IF(Summary_Products!X101="","",Summary_Products!X101)</f>
        <v/>
      </c>
      <c r="Z117" s="615" t="str">
        <f>IF(Summary_Products!Y101="","",Summary_Products!Y101)</f>
        <v/>
      </c>
      <c r="AA117" s="615" t="str">
        <f>IF(Summary_Products!Z101="","",Summary_Products!Z101)</f>
        <v/>
      </c>
      <c r="AB117" s="615" t="str">
        <f>IF(Summary_Products!AA101="","",Summary_Products!AA101)</f>
        <v/>
      </c>
      <c r="AC117" s="615" t="str">
        <f>IF(Summary_Products!AB101="","",Summary_Products!AB101)</f>
        <v/>
      </c>
      <c r="AD117" s="615" t="str">
        <f>IF(Summary_Products!AC101="","",Summary_Products!AC101)</f>
        <v/>
      </c>
      <c r="AE117" s="615" t="str">
        <f>IF(Summary_Products!AD101="","",Summary_Products!AD101)</f>
        <v/>
      </c>
      <c r="AF117" s="615" t="str">
        <f>IF(Summary_Products!AE101="","",Summary_Products!AE101)</f>
        <v/>
      </c>
      <c r="AG117" s="615" t="str">
        <f>IF(Summary_Products!AF101="","",Summary_Products!AF101)</f>
        <v/>
      </c>
      <c r="AH117" s="615" t="str">
        <f>IF(Summary_Products!AG101="","",Summary_Products!AG101)</f>
        <v/>
      </c>
      <c r="AI117" s="615" t="str">
        <f>IF(Summary_Products!AH101="","",Summary_Products!AH101)</f>
        <v/>
      </c>
      <c r="AJ117" s="615" t="str">
        <f>IF(Summary_Products!AI101="","",Summary_Products!AI101)</f>
        <v/>
      </c>
      <c r="AK117" s="615" t="str">
        <f>IF(Summary_Products!AJ101="","",Summary_Products!AJ101)</f>
        <v/>
      </c>
      <c r="AL117" s="615" t="str">
        <f>IF(Summary_Products!AK101="","",Summary_Products!AK101)</f>
        <v/>
      </c>
      <c r="AM117" s="421" t="str">
        <f>IF(Summary_Products!AL101="","",INDEX(Translations!$C:$C,MATCH(Summary_Products!AL101,Translations!$B:$B,0)))</f>
        <v/>
      </c>
      <c r="AN117" s="615" t="str">
        <f>IF(Summary_Products!AM101="","",Summary_Products!AM101)</f>
        <v/>
      </c>
      <c r="AO117" s="473" t="str">
        <f>IF(Summary_Products!AN101="","",Summary_Products!AN101)</f>
        <v/>
      </c>
      <c r="AP117" s="474" t="str">
        <f>IF(Summary_Products!AO101="","",Summary_Products!AO101)</f>
        <v/>
      </c>
      <c r="AQ117" s="160" t="str">
        <f>IF(Summary_Products!AP101="","",Summary_Products!AP101)</f>
        <v/>
      </c>
      <c r="AR117" s="477" t="str">
        <f>IF(Summary_Products!AR101="","",Summary_Products!AR101)</f>
        <v/>
      </c>
      <c r="AS117" s="474" t="str">
        <f>IF(Summary_Products!AS101="","",Summary_Products!AS101)</f>
        <v/>
      </c>
      <c r="AT117" s="421" t="str">
        <f>IF(Summary_Products!AT101="","",INDEX(Translations!$C:$C,MATCH(Summary_Products!AT101,Translations!$B:$B,0)))</f>
        <v/>
      </c>
      <c r="AU117" s="615" t="str">
        <f>IF(Summary_Products!AU101="","",Summary_Products!AU101)</f>
        <v/>
      </c>
      <c r="AV117" s="473" t="str">
        <f>IF(Summary_Products!AV101="","",Summary_Products!AV101)</f>
        <v/>
      </c>
      <c r="AW117" s="474" t="str">
        <f>IF(Summary_Products!AW101="","",Summary_Products!AW101)</f>
        <v/>
      </c>
      <c r="AX117" s="477" t="str">
        <f>IF(Summary_Products!AX101="","",Summary_Products!AX101)</f>
        <v/>
      </c>
      <c r="AY117" s="474" t="str">
        <f>IF(Summary_Products!AY101="","",Summary_Products!AY101)</f>
        <v/>
      </c>
      <c r="AZ117" s="477" t="str">
        <f>IF(Summary_Products!AZ101="","",Summary_Products!AZ101)</f>
        <v/>
      </c>
      <c r="BA117" s="478" t="str">
        <f>IF(Summary_Products!BA101="","",Summary_Products!BA101)</f>
        <v/>
      </c>
      <c r="BD117" s="156"/>
      <c r="BE117" s="156"/>
      <c r="BF117" s="156"/>
      <c r="BG117" s="156"/>
    </row>
    <row r="118" spans="1:59" ht="12.75"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782" t="str">
        <f t="shared" si="1"/>
        <v/>
      </c>
      <c r="Q118" s="160" t="str">
        <f>IF(Summary_Products!P102="","",INDEX(Translations!$C:$C,MATCH(Summary_Products!P102,Translations!$B:$B,0)))</f>
        <v/>
      </c>
      <c r="R118" s="160" t="str">
        <f>IF(Summary_Products!Q102="","",Summary_Products!Q102)</f>
        <v/>
      </c>
      <c r="S118" s="615" t="str">
        <f>IF(Summary_Products!R102="","",Summary_Products!R102)</f>
        <v/>
      </c>
      <c r="T118" s="615" t="str">
        <f>IF(Summary_Products!S102="","",Summary_Products!S102)</f>
        <v/>
      </c>
      <c r="U118" s="615" t="str">
        <f>IF(Summary_Products!T102="","",Summary_Products!T102)</f>
        <v/>
      </c>
      <c r="V118" s="615" t="str">
        <f>IF(Summary_Products!U102="","",Summary_Products!U102)</f>
        <v/>
      </c>
      <c r="W118" s="615" t="str">
        <f>IF(Summary_Products!V102="","",Summary_Products!V102)</f>
        <v/>
      </c>
      <c r="X118" s="615" t="str">
        <f>IF(Summary_Products!W102="","",Summary_Products!W102)</f>
        <v/>
      </c>
      <c r="Y118" s="615" t="str">
        <f>IF(Summary_Products!X102="","",Summary_Products!X102)</f>
        <v/>
      </c>
      <c r="Z118" s="615" t="str">
        <f>IF(Summary_Products!Y102="","",Summary_Products!Y102)</f>
        <v/>
      </c>
      <c r="AA118" s="615" t="str">
        <f>IF(Summary_Products!Z102="","",Summary_Products!Z102)</f>
        <v/>
      </c>
      <c r="AB118" s="615" t="str">
        <f>IF(Summary_Products!AA102="","",Summary_Products!AA102)</f>
        <v/>
      </c>
      <c r="AC118" s="615" t="str">
        <f>IF(Summary_Products!AB102="","",Summary_Products!AB102)</f>
        <v/>
      </c>
      <c r="AD118" s="615" t="str">
        <f>IF(Summary_Products!AC102="","",Summary_Products!AC102)</f>
        <v/>
      </c>
      <c r="AE118" s="615" t="str">
        <f>IF(Summary_Products!AD102="","",Summary_Products!AD102)</f>
        <v/>
      </c>
      <c r="AF118" s="615" t="str">
        <f>IF(Summary_Products!AE102="","",Summary_Products!AE102)</f>
        <v/>
      </c>
      <c r="AG118" s="615" t="str">
        <f>IF(Summary_Products!AF102="","",Summary_Products!AF102)</f>
        <v/>
      </c>
      <c r="AH118" s="615" t="str">
        <f>IF(Summary_Products!AG102="","",Summary_Products!AG102)</f>
        <v/>
      </c>
      <c r="AI118" s="615" t="str">
        <f>IF(Summary_Products!AH102="","",Summary_Products!AH102)</f>
        <v/>
      </c>
      <c r="AJ118" s="615" t="str">
        <f>IF(Summary_Products!AI102="","",Summary_Products!AI102)</f>
        <v/>
      </c>
      <c r="AK118" s="615" t="str">
        <f>IF(Summary_Products!AJ102="","",Summary_Products!AJ102)</f>
        <v/>
      </c>
      <c r="AL118" s="615" t="str">
        <f>IF(Summary_Products!AK102="","",Summary_Products!AK102)</f>
        <v/>
      </c>
      <c r="AM118" s="421" t="str">
        <f>IF(Summary_Products!AL102="","",INDEX(Translations!$C:$C,MATCH(Summary_Products!AL102,Translations!$B:$B,0)))</f>
        <v/>
      </c>
      <c r="AN118" s="615" t="str">
        <f>IF(Summary_Products!AM102="","",Summary_Products!AM102)</f>
        <v/>
      </c>
      <c r="AO118" s="473" t="str">
        <f>IF(Summary_Products!AN102="","",Summary_Products!AN102)</f>
        <v/>
      </c>
      <c r="AP118" s="474" t="str">
        <f>IF(Summary_Products!AO102="","",Summary_Products!AO102)</f>
        <v/>
      </c>
      <c r="AQ118" s="160" t="str">
        <f>IF(Summary_Products!AP102="","",Summary_Products!AP102)</f>
        <v/>
      </c>
      <c r="AR118" s="477" t="str">
        <f>IF(Summary_Products!AR102="","",Summary_Products!AR102)</f>
        <v/>
      </c>
      <c r="AS118" s="474" t="str">
        <f>IF(Summary_Products!AS102="","",Summary_Products!AS102)</f>
        <v/>
      </c>
      <c r="AT118" s="421" t="str">
        <f>IF(Summary_Products!AT102="","",INDEX(Translations!$C:$C,MATCH(Summary_Products!AT102,Translations!$B:$B,0)))</f>
        <v/>
      </c>
      <c r="AU118" s="615" t="str">
        <f>IF(Summary_Products!AU102="","",Summary_Products!AU102)</f>
        <v/>
      </c>
      <c r="AV118" s="473" t="str">
        <f>IF(Summary_Products!AV102="","",Summary_Products!AV102)</f>
        <v/>
      </c>
      <c r="AW118" s="474" t="str">
        <f>IF(Summary_Products!AW102="","",Summary_Products!AW102)</f>
        <v/>
      </c>
      <c r="AX118" s="477" t="str">
        <f>IF(Summary_Products!AX102="","",Summary_Products!AX102)</f>
        <v/>
      </c>
      <c r="AY118" s="474" t="str">
        <f>IF(Summary_Products!AY102="","",Summary_Products!AY102)</f>
        <v/>
      </c>
      <c r="AZ118" s="477" t="str">
        <f>IF(Summary_Products!AZ102="","",Summary_Products!AZ102)</f>
        <v/>
      </c>
      <c r="BA118" s="478" t="str">
        <f>IF(Summary_Products!BA102="","",Summary_Products!BA102)</f>
        <v/>
      </c>
      <c r="BD118" s="156"/>
      <c r="BE118" s="156"/>
      <c r="BF118" s="156"/>
      <c r="BG118" s="156"/>
    </row>
    <row r="119" spans="1:59" ht="12.75"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782" t="str">
        <f t="shared" si="1"/>
        <v/>
      </c>
      <c r="Q119" s="160" t="str">
        <f>IF(Summary_Products!P103="","",INDEX(Translations!$C:$C,MATCH(Summary_Products!P103,Translations!$B:$B,0)))</f>
        <v/>
      </c>
      <c r="R119" s="160" t="str">
        <f>IF(Summary_Products!Q103="","",Summary_Products!Q103)</f>
        <v/>
      </c>
      <c r="S119" s="615" t="str">
        <f>IF(Summary_Products!R103="","",Summary_Products!R103)</f>
        <v/>
      </c>
      <c r="T119" s="615" t="str">
        <f>IF(Summary_Products!S103="","",Summary_Products!S103)</f>
        <v/>
      </c>
      <c r="U119" s="615" t="str">
        <f>IF(Summary_Products!T103="","",Summary_Products!T103)</f>
        <v/>
      </c>
      <c r="V119" s="615" t="str">
        <f>IF(Summary_Products!U103="","",Summary_Products!U103)</f>
        <v/>
      </c>
      <c r="W119" s="615" t="str">
        <f>IF(Summary_Products!V103="","",Summary_Products!V103)</f>
        <v/>
      </c>
      <c r="X119" s="615" t="str">
        <f>IF(Summary_Products!W103="","",Summary_Products!W103)</f>
        <v/>
      </c>
      <c r="Y119" s="615" t="str">
        <f>IF(Summary_Products!X103="","",Summary_Products!X103)</f>
        <v/>
      </c>
      <c r="Z119" s="615" t="str">
        <f>IF(Summary_Products!Y103="","",Summary_Products!Y103)</f>
        <v/>
      </c>
      <c r="AA119" s="615" t="str">
        <f>IF(Summary_Products!Z103="","",Summary_Products!Z103)</f>
        <v/>
      </c>
      <c r="AB119" s="615" t="str">
        <f>IF(Summary_Products!AA103="","",Summary_Products!AA103)</f>
        <v/>
      </c>
      <c r="AC119" s="615" t="str">
        <f>IF(Summary_Products!AB103="","",Summary_Products!AB103)</f>
        <v/>
      </c>
      <c r="AD119" s="615" t="str">
        <f>IF(Summary_Products!AC103="","",Summary_Products!AC103)</f>
        <v/>
      </c>
      <c r="AE119" s="615" t="str">
        <f>IF(Summary_Products!AD103="","",Summary_Products!AD103)</f>
        <v/>
      </c>
      <c r="AF119" s="615" t="str">
        <f>IF(Summary_Products!AE103="","",Summary_Products!AE103)</f>
        <v/>
      </c>
      <c r="AG119" s="615" t="str">
        <f>IF(Summary_Products!AF103="","",Summary_Products!AF103)</f>
        <v/>
      </c>
      <c r="AH119" s="615" t="str">
        <f>IF(Summary_Products!AG103="","",Summary_Products!AG103)</f>
        <v/>
      </c>
      <c r="AI119" s="615" t="str">
        <f>IF(Summary_Products!AH103="","",Summary_Products!AH103)</f>
        <v/>
      </c>
      <c r="AJ119" s="615" t="str">
        <f>IF(Summary_Products!AI103="","",Summary_Products!AI103)</f>
        <v/>
      </c>
      <c r="AK119" s="615" t="str">
        <f>IF(Summary_Products!AJ103="","",Summary_Products!AJ103)</f>
        <v/>
      </c>
      <c r="AL119" s="615" t="str">
        <f>IF(Summary_Products!AK103="","",Summary_Products!AK103)</f>
        <v/>
      </c>
      <c r="AM119" s="421" t="str">
        <f>IF(Summary_Products!AL103="","",INDEX(Translations!$C:$C,MATCH(Summary_Products!AL103,Translations!$B:$B,0)))</f>
        <v/>
      </c>
      <c r="AN119" s="615" t="str">
        <f>IF(Summary_Products!AM103="","",Summary_Products!AM103)</f>
        <v/>
      </c>
      <c r="AO119" s="473" t="str">
        <f>IF(Summary_Products!AN103="","",Summary_Products!AN103)</f>
        <v/>
      </c>
      <c r="AP119" s="474" t="str">
        <f>IF(Summary_Products!AO103="","",Summary_Products!AO103)</f>
        <v/>
      </c>
      <c r="AQ119" s="160" t="str">
        <f>IF(Summary_Products!AP103="","",Summary_Products!AP103)</f>
        <v/>
      </c>
      <c r="AR119" s="477" t="str">
        <f>IF(Summary_Products!AR103="","",Summary_Products!AR103)</f>
        <v/>
      </c>
      <c r="AS119" s="474" t="str">
        <f>IF(Summary_Products!AS103="","",Summary_Products!AS103)</f>
        <v/>
      </c>
      <c r="AT119" s="421" t="str">
        <f>IF(Summary_Products!AT103="","",INDEX(Translations!$C:$C,MATCH(Summary_Products!AT103,Translations!$B:$B,0)))</f>
        <v/>
      </c>
      <c r="AU119" s="615" t="str">
        <f>IF(Summary_Products!AU103="","",Summary_Products!AU103)</f>
        <v/>
      </c>
      <c r="AV119" s="473" t="str">
        <f>IF(Summary_Products!AV103="","",Summary_Products!AV103)</f>
        <v/>
      </c>
      <c r="AW119" s="474" t="str">
        <f>IF(Summary_Products!AW103="","",Summary_Products!AW103)</f>
        <v/>
      </c>
      <c r="AX119" s="477" t="str">
        <f>IF(Summary_Products!AX103="","",Summary_Products!AX103)</f>
        <v/>
      </c>
      <c r="AY119" s="474" t="str">
        <f>IF(Summary_Products!AY103="","",Summary_Products!AY103)</f>
        <v/>
      </c>
      <c r="AZ119" s="477" t="str">
        <f>IF(Summary_Products!AZ103="","",Summary_Products!AZ103)</f>
        <v/>
      </c>
      <c r="BA119" s="478" t="str">
        <f>IF(Summary_Products!BA103="","",Summary_Products!BA103)</f>
        <v/>
      </c>
      <c r="BD119" s="156"/>
      <c r="BE119" s="156"/>
      <c r="BF119" s="156"/>
      <c r="BG119" s="156"/>
    </row>
    <row r="120" spans="1:59" ht="12.75"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782" t="str">
        <f t="shared" si="1"/>
        <v/>
      </c>
      <c r="Q120" s="160" t="str">
        <f>IF(Summary_Products!P104="","",INDEX(Translations!$C:$C,MATCH(Summary_Products!P104,Translations!$B:$B,0)))</f>
        <v/>
      </c>
      <c r="R120" s="160" t="str">
        <f>IF(Summary_Products!Q104="","",Summary_Products!Q104)</f>
        <v/>
      </c>
      <c r="S120" s="615" t="str">
        <f>IF(Summary_Products!R104="","",Summary_Products!R104)</f>
        <v/>
      </c>
      <c r="T120" s="615" t="str">
        <f>IF(Summary_Products!S104="","",Summary_Products!S104)</f>
        <v/>
      </c>
      <c r="U120" s="615" t="str">
        <f>IF(Summary_Products!T104="","",Summary_Products!T104)</f>
        <v/>
      </c>
      <c r="V120" s="615" t="str">
        <f>IF(Summary_Products!U104="","",Summary_Products!U104)</f>
        <v/>
      </c>
      <c r="W120" s="615" t="str">
        <f>IF(Summary_Products!V104="","",Summary_Products!V104)</f>
        <v/>
      </c>
      <c r="X120" s="615" t="str">
        <f>IF(Summary_Products!W104="","",Summary_Products!W104)</f>
        <v/>
      </c>
      <c r="Y120" s="615" t="str">
        <f>IF(Summary_Products!X104="","",Summary_Products!X104)</f>
        <v/>
      </c>
      <c r="Z120" s="615" t="str">
        <f>IF(Summary_Products!Y104="","",Summary_Products!Y104)</f>
        <v/>
      </c>
      <c r="AA120" s="615" t="str">
        <f>IF(Summary_Products!Z104="","",Summary_Products!Z104)</f>
        <v/>
      </c>
      <c r="AB120" s="615" t="str">
        <f>IF(Summary_Products!AA104="","",Summary_Products!AA104)</f>
        <v/>
      </c>
      <c r="AC120" s="615" t="str">
        <f>IF(Summary_Products!AB104="","",Summary_Products!AB104)</f>
        <v/>
      </c>
      <c r="AD120" s="615" t="str">
        <f>IF(Summary_Products!AC104="","",Summary_Products!AC104)</f>
        <v/>
      </c>
      <c r="AE120" s="615" t="str">
        <f>IF(Summary_Products!AD104="","",Summary_Products!AD104)</f>
        <v/>
      </c>
      <c r="AF120" s="615" t="str">
        <f>IF(Summary_Products!AE104="","",Summary_Products!AE104)</f>
        <v/>
      </c>
      <c r="AG120" s="615" t="str">
        <f>IF(Summary_Products!AF104="","",Summary_Products!AF104)</f>
        <v/>
      </c>
      <c r="AH120" s="615" t="str">
        <f>IF(Summary_Products!AG104="","",Summary_Products!AG104)</f>
        <v/>
      </c>
      <c r="AI120" s="615" t="str">
        <f>IF(Summary_Products!AH104="","",Summary_Products!AH104)</f>
        <v/>
      </c>
      <c r="AJ120" s="615" t="str">
        <f>IF(Summary_Products!AI104="","",Summary_Products!AI104)</f>
        <v/>
      </c>
      <c r="AK120" s="615" t="str">
        <f>IF(Summary_Products!AJ104="","",Summary_Products!AJ104)</f>
        <v/>
      </c>
      <c r="AL120" s="615" t="str">
        <f>IF(Summary_Products!AK104="","",Summary_Products!AK104)</f>
        <v/>
      </c>
      <c r="AM120" s="421" t="str">
        <f>IF(Summary_Products!AL104="","",INDEX(Translations!$C:$C,MATCH(Summary_Products!AL104,Translations!$B:$B,0)))</f>
        <v/>
      </c>
      <c r="AN120" s="615" t="str">
        <f>IF(Summary_Products!AM104="","",Summary_Products!AM104)</f>
        <v/>
      </c>
      <c r="AO120" s="473" t="str">
        <f>IF(Summary_Products!AN104="","",Summary_Products!AN104)</f>
        <v/>
      </c>
      <c r="AP120" s="474" t="str">
        <f>IF(Summary_Products!AO104="","",Summary_Products!AO104)</f>
        <v/>
      </c>
      <c r="AQ120" s="160" t="str">
        <f>IF(Summary_Products!AP104="","",Summary_Products!AP104)</f>
        <v/>
      </c>
      <c r="AR120" s="477" t="str">
        <f>IF(Summary_Products!AR104="","",Summary_Products!AR104)</f>
        <v/>
      </c>
      <c r="AS120" s="474" t="str">
        <f>IF(Summary_Products!AS104="","",Summary_Products!AS104)</f>
        <v/>
      </c>
      <c r="AT120" s="421" t="str">
        <f>IF(Summary_Products!AT104="","",INDEX(Translations!$C:$C,MATCH(Summary_Products!AT104,Translations!$B:$B,0)))</f>
        <v/>
      </c>
      <c r="AU120" s="615" t="str">
        <f>IF(Summary_Products!AU104="","",Summary_Products!AU104)</f>
        <v/>
      </c>
      <c r="AV120" s="473" t="str">
        <f>IF(Summary_Products!AV104="","",Summary_Products!AV104)</f>
        <v/>
      </c>
      <c r="AW120" s="474" t="str">
        <f>IF(Summary_Products!AW104="","",Summary_Products!AW104)</f>
        <v/>
      </c>
      <c r="AX120" s="477" t="str">
        <f>IF(Summary_Products!AX104="","",Summary_Products!AX104)</f>
        <v/>
      </c>
      <c r="AY120" s="474" t="str">
        <f>IF(Summary_Products!AY104="","",Summary_Products!AY104)</f>
        <v/>
      </c>
      <c r="AZ120" s="477" t="str">
        <f>IF(Summary_Products!AZ104="","",Summary_Products!AZ104)</f>
        <v/>
      </c>
      <c r="BA120" s="478" t="str">
        <f>IF(Summary_Products!BA104="","",Summary_Products!BA104)</f>
        <v/>
      </c>
      <c r="BD120" s="156"/>
      <c r="BE120" s="156"/>
      <c r="BF120" s="156"/>
      <c r="BG120" s="156"/>
    </row>
    <row r="121" spans="1:59" ht="12.75"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782" t="str">
        <f t="shared" si="1"/>
        <v/>
      </c>
      <c r="Q121" s="160" t="str">
        <f>IF(Summary_Products!P105="","",INDEX(Translations!$C:$C,MATCH(Summary_Products!P105,Translations!$B:$B,0)))</f>
        <v/>
      </c>
      <c r="R121" s="160" t="str">
        <f>IF(Summary_Products!Q105="","",Summary_Products!Q105)</f>
        <v/>
      </c>
      <c r="S121" s="615" t="str">
        <f>IF(Summary_Products!R105="","",Summary_Products!R105)</f>
        <v/>
      </c>
      <c r="T121" s="615" t="str">
        <f>IF(Summary_Products!S105="","",Summary_Products!S105)</f>
        <v/>
      </c>
      <c r="U121" s="615" t="str">
        <f>IF(Summary_Products!T105="","",Summary_Products!T105)</f>
        <v/>
      </c>
      <c r="V121" s="615" t="str">
        <f>IF(Summary_Products!U105="","",Summary_Products!U105)</f>
        <v/>
      </c>
      <c r="W121" s="615" t="str">
        <f>IF(Summary_Products!V105="","",Summary_Products!V105)</f>
        <v/>
      </c>
      <c r="X121" s="615" t="str">
        <f>IF(Summary_Products!W105="","",Summary_Products!W105)</f>
        <v/>
      </c>
      <c r="Y121" s="615" t="str">
        <f>IF(Summary_Products!X105="","",Summary_Products!X105)</f>
        <v/>
      </c>
      <c r="Z121" s="615" t="str">
        <f>IF(Summary_Products!Y105="","",Summary_Products!Y105)</f>
        <v/>
      </c>
      <c r="AA121" s="615" t="str">
        <f>IF(Summary_Products!Z105="","",Summary_Products!Z105)</f>
        <v/>
      </c>
      <c r="AB121" s="615" t="str">
        <f>IF(Summary_Products!AA105="","",Summary_Products!AA105)</f>
        <v/>
      </c>
      <c r="AC121" s="615" t="str">
        <f>IF(Summary_Products!AB105="","",Summary_Products!AB105)</f>
        <v/>
      </c>
      <c r="AD121" s="615" t="str">
        <f>IF(Summary_Products!AC105="","",Summary_Products!AC105)</f>
        <v/>
      </c>
      <c r="AE121" s="615" t="str">
        <f>IF(Summary_Products!AD105="","",Summary_Products!AD105)</f>
        <v/>
      </c>
      <c r="AF121" s="615" t="str">
        <f>IF(Summary_Products!AE105="","",Summary_Products!AE105)</f>
        <v/>
      </c>
      <c r="AG121" s="615" t="str">
        <f>IF(Summary_Products!AF105="","",Summary_Products!AF105)</f>
        <v/>
      </c>
      <c r="AH121" s="615" t="str">
        <f>IF(Summary_Products!AG105="","",Summary_Products!AG105)</f>
        <v/>
      </c>
      <c r="AI121" s="615" t="str">
        <f>IF(Summary_Products!AH105="","",Summary_Products!AH105)</f>
        <v/>
      </c>
      <c r="AJ121" s="615" t="str">
        <f>IF(Summary_Products!AI105="","",Summary_Products!AI105)</f>
        <v/>
      </c>
      <c r="AK121" s="615" t="str">
        <f>IF(Summary_Products!AJ105="","",Summary_Products!AJ105)</f>
        <v/>
      </c>
      <c r="AL121" s="615" t="str">
        <f>IF(Summary_Products!AK105="","",Summary_Products!AK105)</f>
        <v/>
      </c>
      <c r="AM121" s="421" t="str">
        <f>IF(Summary_Products!AL105="","",INDEX(Translations!$C:$C,MATCH(Summary_Products!AL105,Translations!$B:$B,0)))</f>
        <v/>
      </c>
      <c r="AN121" s="615" t="str">
        <f>IF(Summary_Products!AM105="","",Summary_Products!AM105)</f>
        <v/>
      </c>
      <c r="AO121" s="473" t="str">
        <f>IF(Summary_Products!AN105="","",Summary_Products!AN105)</f>
        <v/>
      </c>
      <c r="AP121" s="474" t="str">
        <f>IF(Summary_Products!AO105="","",Summary_Products!AO105)</f>
        <v/>
      </c>
      <c r="AQ121" s="160" t="str">
        <f>IF(Summary_Products!AP105="","",Summary_Products!AP105)</f>
        <v/>
      </c>
      <c r="AR121" s="477" t="str">
        <f>IF(Summary_Products!AR105="","",Summary_Products!AR105)</f>
        <v/>
      </c>
      <c r="AS121" s="474" t="str">
        <f>IF(Summary_Products!AS105="","",Summary_Products!AS105)</f>
        <v/>
      </c>
      <c r="AT121" s="421" t="str">
        <f>IF(Summary_Products!AT105="","",INDEX(Translations!$C:$C,MATCH(Summary_Products!AT105,Translations!$B:$B,0)))</f>
        <v/>
      </c>
      <c r="AU121" s="615" t="str">
        <f>IF(Summary_Products!AU105="","",Summary_Products!AU105)</f>
        <v/>
      </c>
      <c r="AV121" s="473" t="str">
        <f>IF(Summary_Products!AV105="","",Summary_Products!AV105)</f>
        <v/>
      </c>
      <c r="AW121" s="474" t="str">
        <f>IF(Summary_Products!AW105="","",Summary_Products!AW105)</f>
        <v/>
      </c>
      <c r="AX121" s="477" t="str">
        <f>IF(Summary_Products!AX105="","",Summary_Products!AX105)</f>
        <v/>
      </c>
      <c r="AY121" s="474" t="str">
        <f>IF(Summary_Products!AY105="","",Summary_Products!AY105)</f>
        <v/>
      </c>
      <c r="AZ121" s="477" t="str">
        <f>IF(Summary_Products!AZ105="","",Summary_Products!AZ105)</f>
        <v/>
      </c>
      <c r="BA121" s="478" t="str">
        <f>IF(Summary_Products!BA105="","",Summary_Products!BA105)</f>
        <v/>
      </c>
      <c r="BD121" s="156"/>
      <c r="BE121" s="156"/>
      <c r="BF121" s="156"/>
      <c r="BG121" s="156"/>
    </row>
    <row r="122" spans="1:59" ht="12.75"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782" t="str">
        <f t="shared" si="1"/>
        <v/>
      </c>
      <c r="Q122" s="160" t="str">
        <f>IF(Summary_Products!P106="","",INDEX(Translations!$C:$C,MATCH(Summary_Products!P106,Translations!$B:$B,0)))</f>
        <v/>
      </c>
      <c r="R122" s="160" t="str">
        <f>IF(Summary_Products!Q106="","",Summary_Products!Q106)</f>
        <v/>
      </c>
      <c r="S122" s="615" t="str">
        <f>IF(Summary_Products!R106="","",Summary_Products!R106)</f>
        <v/>
      </c>
      <c r="T122" s="615" t="str">
        <f>IF(Summary_Products!S106="","",Summary_Products!S106)</f>
        <v/>
      </c>
      <c r="U122" s="615" t="str">
        <f>IF(Summary_Products!T106="","",Summary_Products!T106)</f>
        <v/>
      </c>
      <c r="V122" s="615" t="str">
        <f>IF(Summary_Products!U106="","",Summary_Products!U106)</f>
        <v/>
      </c>
      <c r="W122" s="615" t="str">
        <f>IF(Summary_Products!V106="","",Summary_Products!V106)</f>
        <v/>
      </c>
      <c r="X122" s="615" t="str">
        <f>IF(Summary_Products!W106="","",Summary_Products!W106)</f>
        <v/>
      </c>
      <c r="Y122" s="615" t="str">
        <f>IF(Summary_Products!X106="","",Summary_Products!X106)</f>
        <v/>
      </c>
      <c r="Z122" s="615" t="str">
        <f>IF(Summary_Products!Y106="","",Summary_Products!Y106)</f>
        <v/>
      </c>
      <c r="AA122" s="615" t="str">
        <f>IF(Summary_Products!Z106="","",Summary_Products!Z106)</f>
        <v/>
      </c>
      <c r="AB122" s="615" t="str">
        <f>IF(Summary_Products!AA106="","",Summary_Products!AA106)</f>
        <v/>
      </c>
      <c r="AC122" s="615" t="str">
        <f>IF(Summary_Products!AB106="","",Summary_Products!AB106)</f>
        <v/>
      </c>
      <c r="AD122" s="615" t="str">
        <f>IF(Summary_Products!AC106="","",Summary_Products!AC106)</f>
        <v/>
      </c>
      <c r="AE122" s="615" t="str">
        <f>IF(Summary_Products!AD106="","",Summary_Products!AD106)</f>
        <v/>
      </c>
      <c r="AF122" s="615" t="str">
        <f>IF(Summary_Products!AE106="","",Summary_Products!AE106)</f>
        <v/>
      </c>
      <c r="AG122" s="615" t="str">
        <f>IF(Summary_Products!AF106="","",Summary_Products!AF106)</f>
        <v/>
      </c>
      <c r="AH122" s="615" t="str">
        <f>IF(Summary_Products!AG106="","",Summary_Products!AG106)</f>
        <v/>
      </c>
      <c r="AI122" s="615" t="str">
        <f>IF(Summary_Products!AH106="","",Summary_Products!AH106)</f>
        <v/>
      </c>
      <c r="AJ122" s="615" t="str">
        <f>IF(Summary_Products!AI106="","",Summary_Products!AI106)</f>
        <v/>
      </c>
      <c r="AK122" s="615" t="str">
        <f>IF(Summary_Products!AJ106="","",Summary_Products!AJ106)</f>
        <v/>
      </c>
      <c r="AL122" s="615" t="str">
        <f>IF(Summary_Products!AK106="","",Summary_Products!AK106)</f>
        <v/>
      </c>
      <c r="AM122" s="421" t="str">
        <f>IF(Summary_Products!AL106="","",INDEX(Translations!$C:$C,MATCH(Summary_Products!AL106,Translations!$B:$B,0)))</f>
        <v/>
      </c>
      <c r="AN122" s="615" t="str">
        <f>IF(Summary_Products!AM106="","",Summary_Products!AM106)</f>
        <v/>
      </c>
      <c r="AO122" s="473" t="str">
        <f>IF(Summary_Products!AN106="","",Summary_Products!AN106)</f>
        <v/>
      </c>
      <c r="AP122" s="474" t="str">
        <f>IF(Summary_Products!AO106="","",Summary_Products!AO106)</f>
        <v/>
      </c>
      <c r="AQ122" s="160" t="str">
        <f>IF(Summary_Products!AP106="","",Summary_Products!AP106)</f>
        <v/>
      </c>
      <c r="AR122" s="477" t="str">
        <f>IF(Summary_Products!AR106="","",Summary_Products!AR106)</f>
        <v/>
      </c>
      <c r="AS122" s="474" t="str">
        <f>IF(Summary_Products!AS106="","",Summary_Products!AS106)</f>
        <v/>
      </c>
      <c r="AT122" s="421" t="str">
        <f>IF(Summary_Products!AT106="","",INDEX(Translations!$C:$C,MATCH(Summary_Products!AT106,Translations!$B:$B,0)))</f>
        <v/>
      </c>
      <c r="AU122" s="615" t="str">
        <f>IF(Summary_Products!AU106="","",Summary_Products!AU106)</f>
        <v/>
      </c>
      <c r="AV122" s="473" t="str">
        <f>IF(Summary_Products!AV106="","",Summary_Products!AV106)</f>
        <v/>
      </c>
      <c r="AW122" s="474" t="str">
        <f>IF(Summary_Products!AW106="","",Summary_Products!AW106)</f>
        <v/>
      </c>
      <c r="AX122" s="477" t="str">
        <f>IF(Summary_Products!AX106="","",Summary_Products!AX106)</f>
        <v/>
      </c>
      <c r="AY122" s="474" t="str">
        <f>IF(Summary_Products!AY106="","",Summary_Products!AY106)</f>
        <v/>
      </c>
      <c r="AZ122" s="477" t="str">
        <f>IF(Summary_Products!AZ106="","",Summary_Products!AZ106)</f>
        <v/>
      </c>
      <c r="BA122" s="478" t="str">
        <f>IF(Summary_Products!BA106="","",Summary_Products!BA106)</f>
        <v/>
      </c>
      <c r="BD122" s="156"/>
      <c r="BE122" s="156"/>
      <c r="BF122" s="156"/>
      <c r="BG122" s="156"/>
    </row>
    <row r="123" spans="1:59" ht="12.75"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782" t="str">
        <f t="shared" si="1"/>
        <v/>
      </c>
      <c r="Q123" s="160" t="str">
        <f>IF(Summary_Products!P107="","",INDEX(Translations!$C:$C,MATCH(Summary_Products!P107,Translations!$B:$B,0)))</f>
        <v/>
      </c>
      <c r="R123" s="160" t="str">
        <f>IF(Summary_Products!Q107="","",Summary_Products!Q107)</f>
        <v/>
      </c>
      <c r="S123" s="615" t="str">
        <f>IF(Summary_Products!R107="","",Summary_Products!R107)</f>
        <v/>
      </c>
      <c r="T123" s="615" t="str">
        <f>IF(Summary_Products!S107="","",Summary_Products!S107)</f>
        <v/>
      </c>
      <c r="U123" s="615" t="str">
        <f>IF(Summary_Products!T107="","",Summary_Products!T107)</f>
        <v/>
      </c>
      <c r="V123" s="615" t="str">
        <f>IF(Summary_Products!U107="","",Summary_Products!U107)</f>
        <v/>
      </c>
      <c r="W123" s="615" t="str">
        <f>IF(Summary_Products!V107="","",Summary_Products!V107)</f>
        <v/>
      </c>
      <c r="X123" s="615" t="str">
        <f>IF(Summary_Products!W107="","",Summary_Products!W107)</f>
        <v/>
      </c>
      <c r="Y123" s="615" t="str">
        <f>IF(Summary_Products!X107="","",Summary_Products!X107)</f>
        <v/>
      </c>
      <c r="Z123" s="615" t="str">
        <f>IF(Summary_Products!Y107="","",Summary_Products!Y107)</f>
        <v/>
      </c>
      <c r="AA123" s="615" t="str">
        <f>IF(Summary_Products!Z107="","",Summary_Products!Z107)</f>
        <v/>
      </c>
      <c r="AB123" s="615" t="str">
        <f>IF(Summary_Products!AA107="","",Summary_Products!AA107)</f>
        <v/>
      </c>
      <c r="AC123" s="615" t="str">
        <f>IF(Summary_Products!AB107="","",Summary_Products!AB107)</f>
        <v/>
      </c>
      <c r="AD123" s="615" t="str">
        <f>IF(Summary_Products!AC107="","",Summary_Products!AC107)</f>
        <v/>
      </c>
      <c r="AE123" s="615" t="str">
        <f>IF(Summary_Products!AD107="","",Summary_Products!AD107)</f>
        <v/>
      </c>
      <c r="AF123" s="615" t="str">
        <f>IF(Summary_Products!AE107="","",Summary_Products!AE107)</f>
        <v/>
      </c>
      <c r="AG123" s="615" t="str">
        <f>IF(Summary_Products!AF107="","",Summary_Products!AF107)</f>
        <v/>
      </c>
      <c r="AH123" s="615" t="str">
        <f>IF(Summary_Products!AG107="","",Summary_Products!AG107)</f>
        <v/>
      </c>
      <c r="AI123" s="615" t="str">
        <f>IF(Summary_Products!AH107="","",Summary_Products!AH107)</f>
        <v/>
      </c>
      <c r="AJ123" s="615" t="str">
        <f>IF(Summary_Products!AI107="","",Summary_Products!AI107)</f>
        <v/>
      </c>
      <c r="AK123" s="615" t="str">
        <f>IF(Summary_Products!AJ107="","",Summary_Products!AJ107)</f>
        <v/>
      </c>
      <c r="AL123" s="615" t="str">
        <f>IF(Summary_Products!AK107="","",Summary_Products!AK107)</f>
        <v/>
      </c>
      <c r="AM123" s="421" t="str">
        <f>IF(Summary_Products!AL107="","",INDEX(Translations!$C:$C,MATCH(Summary_Products!AL107,Translations!$B:$B,0)))</f>
        <v/>
      </c>
      <c r="AN123" s="615" t="str">
        <f>IF(Summary_Products!AM107="","",Summary_Products!AM107)</f>
        <v/>
      </c>
      <c r="AO123" s="473" t="str">
        <f>IF(Summary_Products!AN107="","",Summary_Products!AN107)</f>
        <v/>
      </c>
      <c r="AP123" s="474" t="str">
        <f>IF(Summary_Products!AO107="","",Summary_Products!AO107)</f>
        <v/>
      </c>
      <c r="AQ123" s="160" t="str">
        <f>IF(Summary_Products!AP107="","",Summary_Products!AP107)</f>
        <v/>
      </c>
      <c r="AR123" s="477" t="str">
        <f>IF(Summary_Products!AR107="","",Summary_Products!AR107)</f>
        <v/>
      </c>
      <c r="AS123" s="474" t="str">
        <f>IF(Summary_Products!AS107="","",Summary_Products!AS107)</f>
        <v/>
      </c>
      <c r="AT123" s="421" t="str">
        <f>IF(Summary_Products!AT107="","",INDEX(Translations!$C:$C,MATCH(Summary_Products!AT107,Translations!$B:$B,0)))</f>
        <v/>
      </c>
      <c r="AU123" s="615" t="str">
        <f>IF(Summary_Products!AU107="","",Summary_Products!AU107)</f>
        <v/>
      </c>
      <c r="AV123" s="473" t="str">
        <f>IF(Summary_Products!AV107="","",Summary_Products!AV107)</f>
        <v/>
      </c>
      <c r="AW123" s="474" t="str">
        <f>IF(Summary_Products!AW107="","",Summary_Products!AW107)</f>
        <v/>
      </c>
      <c r="AX123" s="477" t="str">
        <f>IF(Summary_Products!AX107="","",Summary_Products!AX107)</f>
        <v/>
      </c>
      <c r="AY123" s="474" t="str">
        <f>IF(Summary_Products!AY107="","",Summary_Products!AY107)</f>
        <v/>
      </c>
      <c r="AZ123" s="477" t="str">
        <f>IF(Summary_Products!AZ107="","",Summary_Products!AZ107)</f>
        <v/>
      </c>
      <c r="BA123" s="478" t="str">
        <f>IF(Summary_Products!BA107="","",Summary_Products!BA107)</f>
        <v/>
      </c>
      <c r="BD123" s="156"/>
      <c r="BE123" s="156"/>
      <c r="BF123" s="156"/>
      <c r="BG123" s="156"/>
    </row>
    <row r="124" spans="1:59" ht="12.75"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782" t="str">
        <f t="shared" si="1"/>
        <v/>
      </c>
      <c r="Q124" s="160" t="str">
        <f>IF(Summary_Products!P108="","",INDEX(Translations!$C:$C,MATCH(Summary_Products!P108,Translations!$B:$B,0)))</f>
        <v/>
      </c>
      <c r="R124" s="160" t="str">
        <f>IF(Summary_Products!Q108="","",Summary_Products!Q108)</f>
        <v/>
      </c>
      <c r="S124" s="615" t="str">
        <f>IF(Summary_Products!R108="","",Summary_Products!R108)</f>
        <v/>
      </c>
      <c r="T124" s="615" t="str">
        <f>IF(Summary_Products!S108="","",Summary_Products!S108)</f>
        <v/>
      </c>
      <c r="U124" s="615" t="str">
        <f>IF(Summary_Products!T108="","",Summary_Products!T108)</f>
        <v/>
      </c>
      <c r="V124" s="615" t="str">
        <f>IF(Summary_Products!U108="","",Summary_Products!U108)</f>
        <v/>
      </c>
      <c r="W124" s="615" t="str">
        <f>IF(Summary_Products!V108="","",Summary_Products!V108)</f>
        <v/>
      </c>
      <c r="X124" s="615" t="str">
        <f>IF(Summary_Products!W108="","",Summary_Products!W108)</f>
        <v/>
      </c>
      <c r="Y124" s="615" t="str">
        <f>IF(Summary_Products!X108="","",Summary_Products!X108)</f>
        <v/>
      </c>
      <c r="Z124" s="615" t="str">
        <f>IF(Summary_Products!Y108="","",Summary_Products!Y108)</f>
        <v/>
      </c>
      <c r="AA124" s="615" t="str">
        <f>IF(Summary_Products!Z108="","",Summary_Products!Z108)</f>
        <v/>
      </c>
      <c r="AB124" s="615" t="str">
        <f>IF(Summary_Products!AA108="","",Summary_Products!AA108)</f>
        <v/>
      </c>
      <c r="AC124" s="615" t="str">
        <f>IF(Summary_Products!AB108="","",Summary_Products!AB108)</f>
        <v/>
      </c>
      <c r="AD124" s="615" t="str">
        <f>IF(Summary_Products!AC108="","",Summary_Products!AC108)</f>
        <v/>
      </c>
      <c r="AE124" s="615" t="str">
        <f>IF(Summary_Products!AD108="","",Summary_Products!AD108)</f>
        <v/>
      </c>
      <c r="AF124" s="615" t="str">
        <f>IF(Summary_Products!AE108="","",Summary_Products!AE108)</f>
        <v/>
      </c>
      <c r="AG124" s="615" t="str">
        <f>IF(Summary_Products!AF108="","",Summary_Products!AF108)</f>
        <v/>
      </c>
      <c r="AH124" s="615" t="str">
        <f>IF(Summary_Products!AG108="","",Summary_Products!AG108)</f>
        <v/>
      </c>
      <c r="AI124" s="615" t="str">
        <f>IF(Summary_Products!AH108="","",Summary_Products!AH108)</f>
        <v/>
      </c>
      <c r="AJ124" s="615" t="str">
        <f>IF(Summary_Products!AI108="","",Summary_Products!AI108)</f>
        <v/>
      </c>
      <c r="AK124" s="615" t="str">
        <f>IF(Summary_Products!AJ108="","",Summary_Products!AJ108)</f>
        <v/>
      </c>
      <c r="AL124" s="615" t="str">
        <f>IF(Summary_Products!AK108="","",Summary_Products!AK108)</f>
        <v/>
      </c>
      <c r="AM124" s="421" t="str">
        <f>IF(Summary_Products!AL108="","",INDEX(Translations!$C:$C,MATCH(Summary_Products!AL108,Translations!$B:$B,0)))</f>
        <v/>
      </c>
      <c r="AN124" s="615" t="str">
        <f>IF(Summary_Products!AM108="","",Summary_Products!AM108)</f>
        <v/>
      </c>
      <c r="AO124" s="473" t="str">
        <f>IF(Summary_Products!AN108="","",Summary_Products!AN108)</f>
        <v/>
      </c>
      <c r="AP124" s="474" t="str">
        <f>IF(Summary_Products!AO108="","",Summary_Products!AO108)</f>
        <v/>
      </c>
      <c r="AQ124" s="160" t="str">
        <f>IF(Summary_Products!AP108="","",Summary_Products!AP108)</f>
        <v/>
      </c>
      <c r="AR124" s="477" t="str">
        <f>IF(Summary_Products!AR108="","",Summary_Products!AR108)</f>
        <v/>
      </c>
      <c r="AS124" s="474" t="str">
        <f>IF(Summary_Products!AS108="","",Summary_Products!AS108)</f>
        <v/>
      </c>
      <c r="AT124" s="421" t="str">
        <f>IF(Summary_Products!AT108="","",INDEX(Translations!$C:$C,MATCH(Summary_Products!AT108,Translations!$B:$B,0)))</f>
        <v/>
      </c>
      <c r="AU124" s="615" t="str">
        <f>IF(Summary_Products!AU108="","",Summary_Products!AU108)</f>
        <v/>
      </c>
      <c r="AV124" s="473" t="str">
        <f>IF(Summary_Products!AV108="","",Summary_Products!AV108)</f>
        <v/>
      </c>
      <c r="AW124" s="474" t="str">
        <f>IF(Summary_Products!AW108="","",Summary_Products!AW108)</f>
        <v/>
      </c>
      <c r="AX124" s="477" t="str">
        <f>IF(Summary_Products!AX108="","",Summary_Products!AX108)</f>
        <v/>
      </c>
      <c r="AY124" s="474" t="str">
        <f>IF(Summary_Products!AY108="","",Summary_Products!AY108)</f>
        <v/>
      </c>
      <c r="AZ124" s="477" t="str">
        <f>IF(Summary_Products!AZ108="","",Summary_Products!AZ108)</f>
        <v/>
      </c>
      <c r="BA124" s="478" t="str">
        <f>IF(Summary_Products!BA108="","",Summary_Products!BA108)</f>
        <v/>
      </c>
      <c r="BD124" s="156"/>
      <c r="BE124" s="156"/>
      <c r="BF124" s="156"/>
      <c r="BG124" s="156"/>
    </row>
    <row r="125" spans="1:59" ht="12.75"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763" t="str">
        <f t="shared" si="1"/>
        <v/>
      </c>
      <c r="Q125" s="163" t="str">
        <f>IF(Summary_Products!P109="","",INDEX(Translations!$C:$C,MATCH(Summary_Products!P109,Translations!$B:$B,0)))</f>
        <v/>
      </c>
      <c r="R125" s="163" t="str">
        <f>IF(Summary_Products!Q109="","",Summary_Products!Q109)</f>
        <v/>
      </c>
      <c r="S125" s="616" t="str">
        <f>IF(Summary_Products!R109="","",Summary_Products!R109)</f>
        <v/>
      </c>
      <c r="T125" s="616" t="str">
        <f>IF(Summary_Products!S109="","",Summary_Products!S109)</f>
        <v/>
      </c>
      <c r="U125" s="616" t="str">
        <f>IF(Summary_Products!T109="","",Summary_Products!T109)</f>
        <v/>
      </c>
      <c r="V125" s="616" t="str">
        <f>IF(Summary_Products!U109="","",Summary_Products!U109)</f>
        <v/>
      </c>
      <c r="W125" s="616" t="str">
        <f>IF(Summary_Products!V109="","",Summary_Products!V109)</f>
        <v/>
      </c>
      <c r="X125" s="616" t="str">
        <f>IF(Summary_Products!W109="","",Summary_Products!W109)</f>
        <v/>
      </c>
      <c r="Y125" s="616" t="str">
        <f>IF(Summary_Products!X109="","",Summary_Products!X109)</f>
        <v/>
      </c>
      <c r="Z125" s="616" t="str">
        <f>IF(Summary_Products!Y109="","",Summary_Products!Y109)</f>
        <v/>
      </c>
      <c r="AA125" s="616" t="str">
        <f>IF(Summary_Products!Z109="","",Summary_Products!Z109)</f>
        <v/>
      </c>
      <c r="AB125" s="616" t="str">
        <f>IF(Summary_Products!AA109="","",Summary_Products!AA109)</f>
        <v/>
      </c>
      <c r="AC125" s="616" t="str">
        <f>IF(Summary_Products!AB109="","",Summary_Products!AB109)</f>
        <v/>
      </c>
      <c r="AD125" s="616" t="str">
        <f>IF(Summary_Products!AC109="","",Summary_Products!AC109)</f>
        <v/>
      </c>
      <c r="AE125" s="616" t="str">
        <f>IF(Summary_Products!AD109="","",Summary_Products!AD109)</f>
        <v/>
      </c>
      <c r="AF125" s="616" t="str">
        <f>IF(Summary_Products!AE109="","",Summary_Products!AE109)</f>
        <v/>
      </c>
      <c r="AG125" s="616" t="str">
        <f>IF(Summary_Products!AF109="","",Summary_Products!AF109)</f>
        <v/>
      </c>
      <c r="AH125" s="616" t="str">
        <f>IF(Summary_Products!AG109="","",Summary_Products!AG109)</f>
        <v/>
      </c>
      <c r="AI125" s="616" t="str">
        <f>IF(Summary_Products!AH109="","",Summary_Products!AH109)</f>
        <v/>
      </c>
      <c r="AJ125" s="616" t="str">
        <f>IF(Summary_Products!AI109="","",Summary_Products!AI109)</f>
        <v/>
      </c>
      <c r="AK125" s="616" t="str">
        <f>IF(Summary_Products!AJ109="","",Summary_Products!AJ109)</f>
        <v/>
      </c>
      <c r="AL125" s="616" t="str">
        <f>IF(Summary_Products!AK109="","",Summary_Products!AK109)</f>
        <v/>
      </c>
      <c r="AM125" s="422" t="str">
        <f>IF(Summary_Products!AL109="","",INDEX(Translations!$C:$C,MATCH(Summary_Products!AL109,Translations!$B:$B,0)))</f>
        <v/>
      </c>
      <c r="AN125" s="616" t="str">
        <f>IF(Summary_Products!AM109="","",Summary_Products!AM109)</f>
        <v/>
      </c>
      <c r="AO125" s="485" t="str">
        <f>IF(Summary_Products!AN109="","",Summary_Products!AN109)</f>
        <v/>
      </c>
      <c r="AP125" s="486" t="str">
        <f>IF(Summary_Products!AO109="","",Summary_Products!AO109)</f>
        <v/>
      </c>
      <c r="AQ125" s="163" t="str">
        <f>IF(Summary_Products!AP109="","",Summary_Products!AP109)</f>
        <v/>
      </c>
      <c r="AR125" s="489" t="str">
        <f>IF(Summary_Products!AR109="","",Summary_Products!AR109)</f>
        <v/>
      </c>
      <c r="AS125" s="486" t="str">
        <f>IF(Summary_Products!AS109="","",Summary_Products!AS109)</f>
        <v/>
      </c>
      <c r="AT125" s="422" t="str">
        <f>IF(Summary_Products!AT109="","",INDEX(Translations!$C:$C,MATCH(Summary_Products!AT109,Translations!$B:$B,0)))</f>
        <v/>
      </c>
      <c r="AU125" s="616" t="str">
        <f>IF(Summary_Products!AU109="","",Summary_Products!AU109)</f>
        <v/>
      </c>
      <c r="AV125" s="485" t="str">
        <f>IF(Summary_Products!AV109="","",Summary_Products!AV109)</f>
        <v/>
      </c>
      <c r="AW125" s="486" t="str">
        <f>IF(Summary_Products!AW109="","",Summary_Products!AW109)</f>
        <v/>
      </c>
      <c r="AX125" s="489" t="str">
        <f>IF(Summary_Products!AX109="","",Summary_Products!AX109)</f>
        <v/>
      </c>
      <c r="AY125" s="486" t="str">
        <f>IF(Summary_Products!AY109="","",Summary_Products!AY109)</f>
        <v/>
      </c>
      <c r="AZ125" s="489" t="str">
        <f>IF(Summary_Products!AZ109="","",Summary_Products!AZ109)</f>
        <v/>
      </c>
      <c r="BA125" s="490" t="str">
        <f>IF(Summary_Products!BA109="","",Summary_Products!BA109)</f>
        <v/>
      </c>
      <c r="BD125" s="156"/>
      <c r="BE125" s="156"/>
      <c r="BF125" s="156"/>
      <c r="BG125" s="156"/>
    </row>
    <row r="126" spans="1:59" ht="12.75" x14ac:dyDescent="0.25">
      <c r="BD126" s="156"/>
      <c r="BE126" s="156"/>
      <c r="BF126" s="156"/>
      <c r="BG126" s="156"/>
    </row>
    <row r="127" spans="1:59" hidden="1" x14ac:dyDescent="0.25">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t="s">
        <v>116</v>
      </c>
    </row>
    <row r="128" spans="1:59" hidden="1" x14ac:dyDescent="0.25">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c r="BB128" s="275"/>
    </row>
  </sheetData>
  <sheetProtection sheet="1" objects="1" scenarios="1" formatCells="0" formatColumns="0" formatRows="0"/>
  <mergeCells count="25">
    <mergeCell ref="B2:F2"/>
    <mergeCell ref="D4:M4"/>
    <mergeCell ref="D11:F11"/>
    <mergeCell ref="AR25:AS25"/>
    <mergeCell ref="AV25:AW25"/>
    <mergeCell ref="AM12:BA12"/>
    <mergeCell ref="AM13:BA13"/>
    <mergeCell ref="AG12:AH12"/>
    <mergeCell ref="AG13:AH13"/>
    <mergeCell ref="I2:J2"/>
    <mergeCell ref="K2:L2"/>
    <mergeCell ref="AX25:AY25"/>
    <mergeCell ref="AZ25:BA25"/>
    <mergeCell ref="D5:M5"/>
    <mergeCell ref="AO25:AP25"/>
    <mergeCell ref="AA11:AB11"/>
    <mergeCell ref="AE11:AF11"/>
    <mergeCell ref="AE12:AF12"/>
    <mergeCell ref="AE13:AF13"/>
    <mergeCell ref="AG11:AH11"/>
    <mergeCell ref="AA12:AB12"/>
    <mergeCell ref="AA13:AB13"/>
    <mergeCell ref="AC11:AD11"/>
    <mergeCell ref="AC12:AD12"/>
    <mergeCell ref="AC13:AD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election activeCell="B2" sqref="B2:F2"/>
    </sheetView>
  </sheetViews>
  <sheetFormatPr baseColWidth="10" defaultColWidth="11.42578125" defaultRowHeight="11.25" x14ac:dyDescent="0.25"/>
  <cols>
    <col min="1" max="1" width="11.42578125" style="220" hidden="1" customWidth="1"/>
    <col min="2" max="2" width="11.42578125" style="218"/>
    <col min="3" max="3" width="3.7109375" style="218" customWidth="1"/>
    <col min="4" max="4" width="15.7109375" style="218" customWidth="1"/>
    <col min="5" max="15" width="7.7109375" style="218" customWidth="1"/>
    <col min="16" max="42" width="8.7109375" style="218" customWidth="1"/>
    <col min="43" max="43" width="11.42578125" style="220" hidden="1" customWidth="1"/>
    <col min="44" max="74" width="5.7109375" style="220" hidden="1" customWidth="1"/>
    <col min="75" max="16384" width="11.42578125" style="218"/>
  </cols>
  <sheetData>
    <row r="1" spans="1:74" s="220" customFormat="1" ht="12.75" hidden="1" customHeight="1" x14ac:dyDescent="0.25">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25">
      <c r="E2" s="219"/>
      <c r="F2" s="219"/>
      <c r="G2" s="219"/>
      <c r="H2" s="219"/>
      <c r="I2" s="219"/>
      <c r="J2" s="219"/>
      <c r="K2" s="219"/>
      <c r="L2" s="219"/>
      <c r="M2" s="219"/>
      <c r="N2" s="219"/>
      <c r="O2" s="219"/>
    </row>
    <row r="3" spans="1:74" ht="12.75" customHeight="1" x14ac:dyDescent="0.25">
      <c r="D3" s="1470" t="s">
        <v>638</v>
      </c>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0"/>
      <c r="AG3" s="1470"/>
      <c r="AH3" s="1470"/>
    </row>
    <row r="4" spans="1:74" ht="12.75" customHeight="1" x14ac:dyDescent="0.25">
      <c r="E4" s="219"/>
      <c r="F4" s="219"/>
      <c r="G4" s="219"/>
      <c r="H4" s="219"/>
      <c r="I4" s="219"/>
      <c r="J4" s="219"/>
      <c r="K4" s="219"/>
      <c r="L4" s="219"/>
      <c r="M4" s="219"/>
      <c r="N4" s="219"/>
      <c r="O4" s="219"/>
    </row>
    <row r="5" spans="1:74" ht="12.75" customHeight="1" thickBot="1" x14ac:dyDescent="0.3">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25">
      <c r="D6" s="602" t="s">
        <v>341</v>
      </c>
      <c r="E6" s="328" t="str">
        <f t="shared" ref="E6:AH6" si="2">INDEX($D$7:$D$36,E1)</f>
        <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25">
      <c r="B7" s="218" t="s">
        <v>201</v>
      </c>
      <c r="C7" s="223">
        <v>1</v>
      </c>
      <c r="D7" s="336" t="str">
        <f t="shared" ref="D7:D16" si="3">IF(INDEX(CNTR_List_ExistProdProcNames,C7)=CONST_NA,"",INDEX(CNTR_List_ExistProdProcNames,C7))</f>
        <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25">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25">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25">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25">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25">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25">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25">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25">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25">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25">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25">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25">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25">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25">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25">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25">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25">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25">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25">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25">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25">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25">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25">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25">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25">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25">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25">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
    <row r="38" spans="2:74" ht="12.75" customHeight="1" x14ac:dyDescent="0.25">
      <c r="D38" s="602" t="s">
        <v>341</v>
      </c>
      <c r="E38" s="328" t="str">
        <f t="shared" ref="E38:AH38" si="5">E6</f>
        <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25">
      <c r="B39" s="218" t="s">
        <v>201</v>
      </c>
      <c r="C39" s="223">
        <v>1</v>
      </c>
      <c r="D39" s="336" t="str">
        <f t="shared" ref="D39:D68" si="6">D7</f>
        <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25">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25">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25">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25">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25">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25">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25">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25">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25">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25">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25">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25">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25">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25">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25">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25">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25">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25">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25">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25">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25">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25">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25">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25">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25">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25">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25">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3.75" x14ac:dyDescent="0.25">
      <c r="D70" s="603" t="s">
        <v>2715</v>
      </c>
      <c r="E70" s="328" t="str">
        <f t="shared" ref="E70:AH70" si="8">E6</f>
        <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25">
      <c r="B71" s="218" t="s">
        <v>201</v>
      </c>
      <c r="C71" s="223">
        <v>1</v>
      </c>
      <c r="D71" s="336" t="str">
        <f t="shared" ref="D71:D80" si="10">D7</f>
        <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v>
      </c>
      <c r="AK71" s="341">
        <f t="array" ref="AK71:AK100">MMULT(E71:AH100,AJ71:AJ100)</f>
        <v>0</v>
      </c>
      <c r="AL71" s="344">
        <f>IFERROR(SUMIF(D_Processes!S:S,CONST_CNTR_EmbedEmInDir &amp; D71,D_Processes!T:T)/SUMIF(D_Processes!R:R,CONST_CNTR_TotProd &amp; D71,D_Processes!T:T),0)</f>
        <v>0</v>
      </c>
      <c r="AM71" s="341">
        <f t="array" ref="AM71:AM100">MMULT(E71:AH100,AL71:AL100)</f>
        <v>0</v>
      </c>
      <c r="AN71" s="344">
        <f>IFERROR(SUMIF(D_Processes!R:R,CONST_ElecConsumption &amp; D71,D_Processes!T:T)/SUMIF(D_Processes!R:R,CONST_CNTR_TotProd &amp; D71,D_Processes!T:T),0)</f>
        <v>0</v>
      </c>
      <c r="AO71" s="341">
        <f t="array" ref="AO71:AO100">MMULT(E71:AH100,AN71:AN100)</f>
        <v>0</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25">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25">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25">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25">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25">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25">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25">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25">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25">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25">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25">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25">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25">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25">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25">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25">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25">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25">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25">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25">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25">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25">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25">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25">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25">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25">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25">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2" sqref="B2:F2"/>
    </sheetView>
  </sheetViews>
  <sheetFormatPr baseColWidth="10" defaultColWidth="11.42578125" defaultRowHeight="12.75" x14ac:dyDescent="0.2"/>
  <cols>
    <col min="1" max="2" width="20.7109375" style="7" customWidth="1"/>
    <col min="3" max="29" width="12.7109375" style="7" customWidth="1"/>
    <col min="30" max="16384" width="11.42578125" style="7"/>
  </cols>
  <sheetData>
    <row r="1" spans="1:8" ht="13.5" thickBot="1" x14ac:dyDescent="0.25">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
      <c r="A2" s="2" t="s">
        <v>141</v>
      </c>
      <c r="B2" s="110" t="s">
        <v>142</v>
      </c>
    </row>
    <row r="3" spans="1:8" x14ac:dyDescent="0.2">
      <c r="A3" s="2" t="s">
        <v>354</v>
      </c>
      <c r="B3" s="110" t="s">
        <v>113</v>
      </c>
    </row>
    <row r="4" spans="1:8" x14ac:dyDescent="0.2">
      <c r="A4" s="2" t="s">
        <v>355</v>
      </c>
      <c r="B4" s="110" t="s">
        <v>112</v>
      </c>
    </row>
    <row r="5" spans="1:8" x14ac:dyDescent="0.2">
      <c r="A5" s="2" t="s">
        <v>356</v>
      </c>
      <c r="B5" s="110" t="s">
        <v>357</v>
      </c>
    </row>
    <row r="6" spans="1:8" x14ac:dyDescent="0.2">
      <c r="A6" s="2" t="s">
        <v>358</v>
      </c>
      <c r="B6" s="110" t="str">
        <f>CONST_CNTR_SUM_CO2</f>
        <v>SUM_CO2</v>
      </c>
      <c r="C6" s="110" t="str">
        <f>B5</f>
        <v>SUM_N2O</v>
      </c>
    </row>
    <row r="7" spans="1:8" x14ac:dyDescent="0.2">
      <c r="A7" s="2" t="s">
        <v>332</v>
      </c>
      <c r="B7" s="110" t="s">
        <v>329</v>
      </c>
    </row>
    <row r="8" spans="1:8" x14ac:dyDescent="0.2">
      <c r="A8" s="2" t="s">
        <v>333</v>
      </c>
      <c r="B8" s="110" t="s">
        <v>330</v>
      </c>
    </row>
    <row r="9" spans="1:8" x14ac:dyDescent="0.2">
      <c r="A9" s="2" t="s">
        <v>334</v>
      </c>
      <c r="B9" s="110" t="s">
        <v>331</v>
      </c>
    </row>
    <row r="10" spans="1:8" x14ac:dyDescent="0.2">
      <c r="A10" s="2" t="s">
        <v>609</v>
      </c>
      <c r="B10" s="110" t="s">
        <v>608</v>
      </c>
    </row>
    <row r="11" spans="1:8" x14ac:dyDescent="0.2">
      <c r="A11" s="2" t="s">
        <v>143</v>
      </c>
      <c r="B11" s="110" t="s">
        <v>144</v>
      </c>
    </row>
    <row r="12" spans="1:8" x14ac:dyDescent="0.2">
      <c r="A12" s="2" t="s">
        <v>139</v>
      </c>
      <c r="B12" s="2" t="s">
        <v>140</v>
      </c>
    </row>
    <row r="13" spans="1:8" x14ac:dyDescent="0.2">
      <c r="A13" s="110" t="s">
        <v>597</v>
      </c>
      <c r="B13" s="110">
        <v>56.1</v>
      </c>
    </row>
    <row r="14" spans="1:8" x14ac:dyDescent="0.2">
      <c r="A14" s="110" t="s">
        <v>149</v>
      </c>
      <c r="B14" s="110" t="s">
        <v>148</v>
      </c>
    </row>
    <row r="15" spans="1:8" x14ac:dyDescent="0.2">
      <c r="A15" s="110" t="s">
        <v>592</v>
      </c>
      <c r="B15" s="110" t="s">
        <v>3925</v>
      </c>
      <c r="C15" s="110" t="s">
        <v>3926</v>
      </c>
      <c r="D15" s="110" t="s">
        <v>3927</v>
      </c>
      <c r="E15" s="110" t="s">
        <v>3928</v>
      </c>
      <c r="F15" s="110" t="s">
        <v>3929</v>
      </c>
      <c r="G15" s="110" t="s">
        <v>3930</v>
      </c>
      <c r="H15" s="110" t="str">
        <f>Translations!$B$460</f>
        <v>Mix</v>
      </c>
    </row>
    <row r="16" spans="1:8" x14ac:dyDescent="0.2">
      <c r="A16" s="110" t="s">
        <v>150</v>
      </c>
      <c r="B16" s="110" t="s">
        <v>151</v>
      </c>
    </row>
    <row r="17" spans="1:4" x14ac:dyDescent="0.2">
      <c r="A17" s="110" t="s">
        <v>145</v>
      </c>
      <c r="B17" s="110" t="s">
        <v>146</v>
      </c>
    </row>
    <row r="18" spans="1:4" x14ac:dyDescent="0.2">
      <c r="A18" s="2" t="s">
        <v>27</v>
      </c>
      <c r="B18" s="2" t="str">
        <f>Translations!$B$631</f>
        <v>n.a.</v>
      </c>
    </row>
    <row r="19" spans="1:4" x14ac:dyDescent="0.2">
      <c r="A19" s="110" t="s">
        <v>147</v>
      </c>
      <c r="B19" s="110" t="s">
        <v>266</v>
      </c>
    </row>
    <row r="20" spans="1:4" x14ac:dyDescent="0.2">
      <c r="A20" s="2" t="s">
        <v>39</v>
      </c>
      <c r="B20" s="2" t="str">
        <f>Translations!$B$632</f>
        <v>tonnes</v>
      </c>
    </row>
    <row r="21" spans="1:4" x14ac:dyDescent="0.2">
      <c r="A21" s="2" t="s">
        <v>133</v>
      </c>
      <c r="B21" s="2" t="str">
        <f>Translations!$B$2091</f>
        <v>Transitional</v>
      </c>
      <c r="C21" s="1" t="str">
        <f>Translations!$B$2092</f>
        <v>Definitive</v>
      </c>
    </row>
    <row r="22" spans="1:4" x14ac:dyDescent="0.2">
      <c r="A22" s="2" t="s">
        <v>33</v>
      </c>
      <c r="B22" s="2" t="b">
        <v>1</v>
      </c>
      <c r="C22" s="110" t="b">
        <v>0</v>
      </c>
    </row>
    <row r="23" spans="1:4" x14ac:dyDescent="0.2">
      <c r="A23" s="110" t="s">
        <v>156</v>
      </c>
      <c r="B23" s="110" t="str">
        <f>CONST_t</f>
        <v>t</v>
      </c>
      <c r="C23" s="110" t="str">
        <f>CONST_kNm3</f>
        <v>1000Nm3</v>
      </c>
    </row>
    <row r="24" spans="1:4" x14ac:dyDescent="0.2">
      <c r="A24" s="1" t="s">
        <v>158</v>
      </c>
      <c r="B24" s="6" t="s">
        <v>118</v>
      </c>
    </row>
    <row r="25" spans="1:4" x14ac:dyDescent="0.2">
      <c r="A25" s="1" t="s">
        <v>159</v>
      </c>
      <c r="B25" s="6" t="s">
        <v>157</v>
      </c>
    </row>
    <row r="26" spans="1:4" x14ac:dyDescent="0.2">
      <c r="A26" s="8" t="s">
        <v>160</v>
      </c>
      <c r="B26" s="110" t="s">
        <v>95</v>
      </c>
    </row>
    <row r="27" spans="1:4" x14ac:dyDescent="0.2">
      <c r="A27" s="1" t="s">
        <v>161</v>
      </c>
      <c r="B27" s="3" t="s">
        <v>155</v>
      </c>
      <c r="C27" s="4"/>
      <c r="D27" s="9"/>
    </row>
    <row r="28" spans="1:4" x14ac:dyDescent="0.2">
      <c r="A28" s="1" t="s">
        <v>162</v>
      </c>
      <c r="B28" s="6" t="str">
        <f>CONST_GJ &amp; "/" &amp;CONST_t</f>
        <v>GJ/t</v>
      </c>
    </row>
    <row r="29" spans="1:4" x14ac:dyDescent="0.2">
      <c r="A29" s="1" t="s">
        <v>257</v>
      </c>
      <c r="B29" s="6" t="s">
        <v>256</v>
      </c>
    </row>
    <row r="30" spans="1:4" x14ac:dyDescent="0.2">
      <c r="A30" s="1" t="s">
        <v>335</v>
      </c>
      <c r="B30" s="6" t="s">
        <v>51</v>
      </c>
    </row>
    <row r="31" spans="1:4" x14ac:dyDescent="0.2">
      <c r="A31" s="1" t="s">
        <v>258</v>
      </c>
      <c r="B31" s="6" t="s">
        <v>259</v>
      </c>
    </row>
    <row r="32" spans="1:4" x14ac:dyDescent="0.2">
      <c r="A32" s="1" t="s">
        <v>260</v>
      </c>
      <c r="B32" s="6" t="s">
        <v>2988</v>
      </c>
    </row>
    <row r="33" spans="1:9" x14ac:dyDescent="0.2">
      <c r="A33" s="1" t="s">
        <v>163</v>
      </c>
      <c r="B33" s="6" t="str">
        <f>CONST_tCO2&amp;"/"&amp;CONST_t</f>
        <v>tCO2/t</v>
      </c>
    </row>
    <row r="34" spans="1:9" x14ac:dyDescent="0.2">
      <c r="A34" s="1" t="s">
        <v>164</v>
      </c>
      <c r="B34" s="6" t="str">
        <f>CONST_tCO2&amp;"/"&amp;CONST_TJ</f>
        <v>tCO2/TJ</v>
      </c>
    </row>
    <row r="35" spans="1:9" x14ac:dyDescent="0.2">
      <c r="A35" s="1" t="s">
        <v>165</v>
      </c>
      <c r="B35" s="6" t="str">
        <f>CONST_tCO2&amp;"/"&amp;CONST_kNm3</f>
        <v>tCO2/1000Nm3</v>
      </c>
    </row>
    <row r="36" spans="1:9" x14ac:dyDescent="0.2">
      <c r="A36" s="1" t="s">
        <v>166</v>
      </c>
      <c r="B36" s="3" t="str">
        <f>CONST_GJ &amp; "/" &amp;CONST_kNm3</f>
        <v>GJ/1000Nm3</v>
      </c>
      <c r="C36" s="4"/>
      <c r="D36" s="9"/>
    </row>
    <row r="37" spans="1:9" x14ac:dyDescent="0.2">
      <c r="A37" s="1" t="s">
        <v>167</v>
      </c>
      <c r="B37" s="3" t="s">
        <v>178</v>
      </c>
      <c r="C37" s="4"/>
      <c r="D37" s="9"/>
    </row>
    <row r="38" spans="1:9" x14ac:dyDescent="0.2">
      <c r="A38" s="1" t="s">
        <v>168</v>
      </c>
      <c r="B38" s="3" t="str">
        <f>CONST_tC &amp; "/" &amp; CONST_t</f>
        <v>tC/t</v>
      </c>
      <c r="C38" s="4"/>
      <c r="D38" s="9"/>
    </row>
    <row r="39" spans="1:9" x14ac:dyDescent="0.2">
      <c r="A39" s="1" t="s">
        <v>169</v>
      </c>
      <c r="B39" s="3" t="str">
        <f>CONST_tC &amp; "/" &amp; CONST_kNm3</f>
        <v>tC/1000Nm3</v>
      </c>
      <c r="C39" s="4"/>
      <c r="D39" s="9"/>
    </row>
    <row r="40" spans="1:9" x14ac:dyDescent="0.2">
      <c r="A40" s="1" t="s">
        <v>156</v>
      </c>
      <c r="B40" s="3" t="str">
        <f>CONST_t</f>
        <v>t</v>
      </c>
      <c r="C40" s="3" t="str">
        <f>CONST_kNm3</f>
        <v>1000Nm3</v>
      </c>
      <c r="D40" s="9"/>
    </row>
    <row r="41" spans="1:9" x14ac:dyDescent="0.2">
      <c r="A41" s="1" t="s">
        <v>170</v>
      </c>
      <c r="B41" s="3" t="str">
        <f>CONST_t</f>
        <v>t</v>
      </c>
      <c r="C41" s="3" t="str">
        <f>CONST_kNm3</f>
        <v>1000Nm3</v>
      </c>
      <c r="D41" s="3" t="str">
        <f>CONST_NA</f>
        <v>n.a.</v>
      </c>
    </row>
    <row r="42" spans="1:9" x14ac:dyDescent="0.2">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
      <c r="A43" s="1" t="s">
        <v>3047</v>
      </c>
      <c r="B43" s="3" t="str">
        <f>Translations!$B$1880</f>
        <v>Third-party verification</v>
      </c>
      <c r="C43" s="3" t="str">
        <f>Translations!$B$1881</f>
        <v>Internal audits</v>
      </c>
      <c r="D43" s="3" t="str">
        <f>Translations!$B$1882</f>
        <v>Four eyes principle</v>
      </c>
      <c r="E43" s="3" t="str">
        <f>Translations!$B$634</f>
        <v>None</v>
      </c>
    </row>
    <row r="44" spans="1:9" x14ac:dyDescent="0.2">
      <c r="A44" s="1" t="s">
        <v>3041</v>
      </c>
      <c r="B44" s="3" t="str">
        <f>Translations!$B$1883</f>
        <v>Unreasonable costs for more accurate monitoring</v>
      </c>
      <c r="C44" s="3" t="str">
        <f>Translations!$B$1884</f>
        <v>Data gaps</v>
      </c>
      <c r="D44" s="3" t="str">
        <f>Translations!$B$638</f>
        <v>Other</v>
      </c>
    </row>
    <row r="45" spans="1:9" x14ac:dyDescent="0.2">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
      <c r="A47" s="1" t="s">
        <v>171</v>
      </c>
      <c r="B47" s="3" t="str">
        <f>CONST_tCO2pTJ</f>
        <v>tCO2/TJ</v>
      </c>
      <c r="C47" s="3" t="str">
        <f>CONST_tCO2pt</f>
        <v>tCO2/t</v>
      </c>
      <c r="D47" s="3" t="str">
        <f>CONST_tCO2pkNm3</f>
        <v>tCO2/1000Nm3</v>
      </c>
    </row>
    <row r="48" spans="1:9" x14ac:dyDescent="0.2">
      <c r="A48" s="1" t="s">
        <v>172</v>
      </c>
      <c r="B48" s="3" t="str">
        <f>CONST_tC&amp;"/"&amp;CONST_t</f>
        <v>tC/t</v>
      </c>
      <c r="C48" s="3" t="str">
        <f>CONST_tC&amp;"/"&amp;CONST_kNm3</f>
        <v>tC/1000Nm3</v>
      </c>
      <c r="D48" s="3" t="str">
        <f>CONST_NA</f>
        <v>n.a.</v>
      </c>
    </row>
    <row r="49" spans="1:5" x14ac:dyDescent="0.2">
      <c r="A49" s="1" t="s">
        <v>173</v>
      </c>
      <c r="B49" s="3" t="str">
        <f>CONST_tC&amp;"/"&amp;CONST_t</f>
        <v>tC/t</v>
      </c>
      <c r="C49" s="3" t="str">
        <f>CONST_tC&amp;"/"&amp;CONST_kNm3</f>
        <v>tC/1000Nm3</v>
      </c>
    </row>
    <row r="50" spans="1:5" x14ac:dyDescent="0.2">
      <c r="A50" s="1" t="s">
        <v>174</v>
      </c>
      <c r="B50" s="5" t="str">
        <f>Translations!$B$2093</f>
        <v>h/period</v>
      </c>
    </row>
    <row r="51" spans="1:5" x14ac:dyDescent="0.2">
      <c r="A51" s="1" t="s">
        <v>175</v>
      </c>
      <c r="B51" s="5" t="s">
        <v>110</v>
      </c>
    </row>
    <row r="52" spans="1:5" x14ac:dyDescent="0.2">
      <c r="A52" s="1" t="s">
        <v>176</v>
      </c>
      <c r="B52" s="5" t="s">
        <v>109</v>
      </c>
    </row>
    <row r="53" spans="1:5" x14ac:dyDescent="0.2">
      <c r="A53" s="1" t="s">
        <v>177</v>
      </c>
      <c r="B53" s="3" t="str">
        <f>CONST_kNm3 &amp; "/" &amp; CONST_Year</f>
        <v>1000Nm3/Year</v>
      </c>
    </row>
    <row r="54" spans="1:5" x14ac:dyDescent="0.2">
      <c r="A54" s="1" t="s">
        <v>264</v>
      </c>
      <c r="B54" s="5" t="str">
        <f>Translations!$B$645</f>
        <v>Year</v>
      </c>
    </row>
    <row r="55" spans="1:5" x14ac:dyDescent="0.2">
      <c r="A55" s="110" t="s">
        <v>180</v>
      </c>
      <c r="B55" s="110" t="s">
        <v>31</v>
      </c>
      <c r="C55" s="110" t="s">
        <v>108</v>
      </c>
    </row>
    <row r="56" spans="1:5" x14ac:dyDescent="0.2">
      <c r="A56" s="110" t="s">
        <v>338</v>
      </c>
      <c r="B56" s="110" t="str">
        <f>Translations!$B$181</f>
        <v>Combustion</v>
      </c>
      <c r="C56" s="110" t="str">
        <f>Translations!$B$646</f>
        <v>Process emissions</v>
      </c>
      <c r="D56" s="110" t="str">
        <f>Translations!$B$194</f>
        <v>Mass Balance</v>
      </c>
    </row>
    <row r="57" spans="1:5" x14ac:dyDescent="0.2">
      <c r="A57" s="110" t="s">
        <v>350</v>
      </c>
      <c r="B57" s="110" t="str">
        <f>Translations!$B$647</f>
        <v>Slope method</v>
      </c>
      <c r="C57" s="110" t="str">
        <f>Translations!$B$203</f>
        <v>Overvoltage method</v>
      </c>
    </row>
    <row r="58" spans="1:5" x14ac:dyDescent="0.2">
      <c r="A58" s="1" t="s">
        <v>301</v>
      </c>
      <c r="B58" s="3" t="str">
        <f>Translations!$B$615</f>
        <v>Coal or coke</v>
      </c>
      <c r="C58" s="3" t="str">
        <f>Translations!$B$648</f>
        <v>Natural gas</v>
      </c>
      <c r="D58" s="3" t="str">
        <f>Translations!$B$649</f>
        <v>Biogas</v>
      </c>
      <c r="E58" s="3" t="str">
        <f>Translations!$B$650</f>
        <v>Hydrogen</v>
      </c>
    </row>
    <row r="59" spans="1:5" x14ac:dyDescent="0.2">
      <c r="A59" s="1" t="s">
        <v>396</v>
      </c>
      <c r="B59" s="3" t="str">
        <f>Translations!$B$651</f>
        <v>Missing! Please assign ALL relevant aggregated goods categories to a 'production process'.</v>
      </c>
    </row>
    <row r="60" spans="1:5" x14ac:dyDescent="0.2">
      <c r="A60" s="110" t="s">
        <v>397</v>
      </c>
      <c r="B60" s="110" t="str">
        <f>Translations!$B$652</f>
        <v>Click here to proceed to next sheet</v>
      </c>
    </row>
    <row r="61" spans="1:5" x14ac:dyDescent="0.2">
      <c r="A61" s="110" t="s">
        <v>419</v>
      </c>
      <c r="B61" s="110" t="s">
        <v>420</v>
      </c>
    </row>
    <row r="62" spans="1:5" x14ac:dyDescent="0.2">
      <c r="A62" s="110" t="s">
        <v>426</v>
      </c>
      <c r="B62" s="110" t="str">
        <f>Translations!$B$653</f>
        <v>Only direct production</v>
      </c>
    </row>
    <row r="63" spans="1:5" x14ac:dyDescent="0.2">
      <c r="A63" s="110" t="s">
        <v>427</v>
      </c>
      <c r="B63" s="110" t="str">
        <f>Translations!$B$654</f>
        <v>All production routes</v>
      </c>
    </row>
    <row r="64" spans="1:5" x14ac:dyDescent="0.2">
      <c r="A64" s="110" t="s">
        <v>428</v>
      </c>
      <c r="B64" s="110" t="str">
        <f>Translations!$B$655</f>
        <v>Please select…</v>
      </c>
    </row>
    <row r="65" spans="1:4" x14ac:dyDescent="0.2">
      <c r="A65" s="110" t="s">
        <v>2802</v>
      </c>
      <c r="B65" s="110" t="str">
        <f>Translations!$B$656</f>
        <v>Incomplete!</v>
      </c>
    </row>
    <row r="66" spans="1:4" x14ac:dyDescent="0.2">
      <c r="A66" s="110" t="s">
        <v>4063</v>
      </c>
      <c r="B66" s="110" t="str">
        <f>Translations!$B$2094</f>
        <v>Inconsistent!</v>
      </c>
    </row>
    <row r="67" spans="1:4" x14ac:dyDescent="0.2">
      <c r="A67" s="110" t="s">
        <v>2803</v>
      </c>
      <c r="B67" s="110" t="str">
        <f>Translations!$B$657</f>
        <v>Duplicate!</v>
      </c>
    </row>
    <row r="68" spans="1:4" x14ac:dyDescent="0.2">
      <c r="A68" s="110" t="s">
        <v>2764</v>
      </c>
      <c r="B68" s="110" t="str">
        <f>Translations!$B$658</f>
        <v>Measured</v>
      </c>
      <c r="C68" s="110" t="str">
        <f>Translations!$B$659</f>
        <v>Default</v>
      </c>
    </row>
    <row r="69" spans="1:4" x14ac:dyDescent="0.2">
      <c r="A69" s="110" t="s">
        <v>4027</v>
      </c>
      <c r="B69" s="110" t="str">
        <f>Translations!$B$658</f>
        <v>Measured</v>
      </c>
      <c r="C69" s="110" t="str">
        <f>Translations!$B$659</f>
        <v>Default</v>
      </c>
      <c r="D69" s="110" t="str">
        <f>Translations!$B$2095</f>
        <v>Unknown</v>
      </c>
    </row>
    <row r="70" spans="1:4" x14ac:dyDescent="0.2">
      <c r="A70" s="110" t="s">
        <v>2989</v>
      </c>
      <c r="B70" s="110" t="str">
        <f>Translations!$B$120</f>
        <v>Production process</v>
      </c>
      <c r="C70" s="110"/>
    </row>
    <row r="71" spans="1:4" x14ac:dyDescent="0.2">
      <c r="A71" s="110" t="s">
        <v>2990</v>
      </c>
      <c r="B71" s="110" t="str">
        <f>Translations!$B$553</f>
        <v>Purchased precursor</v>
      </c>
      <c r="C71" s="110"/>
    </row>
    <row r="72" spans="1:4" x14ac:dyDescent="0.2">
      <c r="A72" s="110" t="s">
        <v>2768</v>
      </c>
      <c r="B72" s="110" t="str">
        <f>Translations!$B$660</f>
        <v>Please click on this link for further guidance on how to complete this section.</v>
      </c>
    </row>
    <row r="73" spans="1:4" x14ac:dyDescent="0.2">
      <c r="A73" s="110" t="s">
        <v>2769</v>
      </c>
      <c r="B73" s="110" t="str">
        <f>Translations!$B$661</f>
        <v>Please click on this link if you want to go back to the relevant section for data entry.</v>
      </c>
    </row>
    <row r="74" spans="1:4" x14ac:dyDescent="0.2">
      <c r="A74" s="110" t="s">
        <v>2885</v>
      </c>
      <c r="B74" s="110" t="str">
        <f>Translations!$B$662</f>
        <v>Please click on this link to go to the "tool for calculation of the carbon price due".</v>
      </c>
    </row>
    <row r="75" spans="1:4" x14ac:dyDescent="0.2">
      <c r="A75" s="110" t="s">
        <v>2901</v>
      </c>
      <c r="B75" s="110" t="str">
        <f>Translations!$B$663</f>
        <v>Please click on this link to go to the "CHP Tool for attributing emissions between heat and electricity".</v>
      </c>
    </row>
    <row r="76" spans="1:4" x14ac:dyDescent="0.2">
      <c r="A76" s="110" t="s">
        <v>3968</v>
      </c>
      <c r="B76" s="798">
        <v>265</v>
      </c>
    </row>
    <row r="77" spans="1:4" x14ac:dyDescent="0.2">
      <c r="A77" s="110" t="s">
        <v>3967</v>
      </c>
      <c r="B77" s="798">
        <v>6630</v>
      </c>
    </row>
    <row r="78" spans="1:4" x14ac:dyDescent="0.2">
      <c r="A78" s="110" t="s">
        <v>3969</v>
      </c>
      <c r="B78" s="798">
        <v>11100</v>
      </c>
    </row>
    <row r="79" spans="1:4" x14ac:dyDescent="0.2">
      <c r="A79" s="110"/>
      <c r="B79" s="110"/>
    </row>
    <row r="80" spans="1:4" x14ac:dyDescent="0.2">
      <c r="A80" s="110"/>
      <c r="B80" s="110"/>
    </row>
    <row r="81" spans="1:69" x14ac:dyDescent="0.2">
      <c r="A81" s="110"/>
      <c r="B81" s="110"/>
    </row>
    <row r="82" spans="1:69" x14ac:dyDescent="0.2">
      <c r="A82" s="110"/>
      <c r="B82" s="110"/>
    </row>
    <row r="84" spans="1:69" s="281" customFormat="1" ht="13.5" thickBot="1" x14ac:dyDescent="0.25"/>
    <row r="85" spans="1:69" s="110" customFormat="1" ht="13.5" thickBot="1" x14ac:dyDescent="0.25">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
      <c r="BH86" s="874"/>
      <c r="BI86" s="874"/>
      <c r="BJ86" s="874"/>
      <c r="BK86" s="874"/>
      <c r="BL86" s="874"/>
      <c r="BM86" s="874"/>
      <c r="BN86" s="874"/>
      <c r="BO86" s="874"/>
      <c r="BP86" s="874"/>
      <c r="BQ86" s="874"/>
    </row>
    <row r="87" spans="1:69" s="110" customFormat="1" x14ac:dyDescent="0.2">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8.25" x14ac:dyDescent="0.2">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
      <c r="BH107" s="874"/>
      <c r="BI107" s="874"/>
      <c r="BJ107" s="874"/>
      <c r="BK107" s="874"/>
      <c r="BL107" s="874"/>
      <c r="BM107" s="874"/>
      <c r="BN107" s="874"/>
      <c r="BO107" s="874"/>
      <c r="BP107" s="874"/>
      <c r="BQ107" s="874"/>
    </row>
    <row r="108" spans="1:69" s="110" customFormat="1" x14ac:dyDescent="0.2">
      <c r="B108" s="372" t="str">
        <f>Translations!$B$2103</f>
        <v>Special parameters to be reported</v>
      </c>
      <c r="BH108" s="874"/>
      <c r="BI108" s="874"/>
      <c r="BJ108" s="874"/>
      <c r="BK108" s="874"/>
      <c r="BL108" s="874"/>
      <c r="BM108" s="874"/>
      <c r="BN108" s="874"/>
      <c r="BO108" s="874"/>
      <c r="BP108" s="874"/>
      <c r="BQ108" s="874"/>
    </row>
    <row r="109" spans="1:69" s="110" customFormat="1" x14ac:dyDescent="0.2">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50"/>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50"/>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50"/>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50"/>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50"/>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50"/>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50"/>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50"/>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50"/>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50"/>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50"/>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50"/>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50"/>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50"/>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50"/>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50"/>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50"/>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50"/>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
    <row r="130" spans="1:19" s="110" customFormat="1" x14ac:dyDescent="0.2">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
    <row r="132" spans="1:19" s="110" customFormat="1" x14ac:dyDescent="0.2">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2" x14ac:dyDescent="0.2"/>
  <cols>
    <col min="1" max="1" width="15.7109375" style="628" hidden="1" customWidth="1"/>
    <col min="2" max="2" width="15.7109375" style="628" customWidth="1"/>
    <col min="3" max="3" width="78.85546875" style="628" customWidth="1"/>
    <col min="4" max="5" width="15.7109375" style="628" customWidth="1"/>
    <col min="6" max="6" width="25.140625" style="628" customWidth="1"/>
    <col min="7" max="7" width="22.28515625" style="628" customWidth="1"/>
    <col min="8" max="8" width="15.7109375" style="628" hidden="1" customWidth="1"/>
    <col min="9" max="16384" width="11.42578125" style="448"/>
  </cols>
  <sheetData>
    <row r="1" spans="1:8" hidden="1" x14ac:dyDescent="0.2">
      <c r="A1" s="628" t="s">
        <v>3</v>
      </c>
      <c r="F1" s="628" t="str">
        <f>IF(E1=" --- ","",COUNTIF($E1:E$3,E1)&amp;"_"&amp;E1)</f>
        <v>0_</v>
      </c>
      <c r="H1" s="628" t="s">
        <v>3</v>
      </c>
    </row>
    <row r="2" spans="1:8" hidden="1" x14ac:dyDescent="0.2">
      <c r="A2" s="628" t="s">
        <v>3</v>
      </c>
      <c r="C2" s="628" t="s">
        <v>2713</v>
      </c>
      <c r="D2" s="628" t="s">
        <v>2710</v>
      </c>
      <c r="F2" s="628" t="s">
        <v>2711</v>
      </c>
    </row>
    <row r="3" spans="1:8" s="449" customFormat="1" x14ac:dyDescent="0.2">
      <c r="A3" s="629" t="s">
        <v>650</v>
      </c>
      <c r="B3" s="629" t="s">
        <v>651</v>
      </c>
      <c r="C3" s="629" t="s">
        <v>2999</v>
      </c>
      <c r="D3" s="629" t="s">
        <v>651</v>
      </c>
      <c r="E3" s="629" t="str">
        <f>Translations!$B$2098</f>
        <v>CBAM good</v>
      </c>
      <c r="F3" s="629" t="s">
        <v>195</v>
      </c>
      <c r="G3" s="629"/>
      <c r="H3" s="665" t="s">
        <v>652</v>
      </c>
    </row>
    <row r="4" spans="1:8" x14ac:dyDescent="0.2">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5"/>
  <sheetViews>
    <sheetView zoomScaleNormal="100" workbookViewId="0">
      <pane xSplit="2" ySplit="4" topLeftCell="C1897"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2" x14ac:dyDescent="0.25"/>
  <cols>
    <col min="1" max="1" width="5.85546875" style="820" customWidth="1"/>
    <col min="2" max="13" width="20.7109375" style="821" customWidth="1"/>
    <col min="14" max="16384" width="11.42578125" style="821"/>
  </cols>
  <sheetData>
    <row r="1" spans="1:13" ht="14.25" x14ac:dyDescent="0.25">
      <c r="B1" s="1071" t="s">
        <v>3891</v>
      </c>
    </row>
    <row r="2" spans="1:13" ht="15" thickBot="1" x14ac:dyDescent="0.3">
      <c r="B2" s="1071" t="s">
        <v>3890</v>
      </c>
    </row>
    <row r="3" spans="1:13" ht="16.5" thickBot="1" x14ac:dyDescent="0.3">
      <c r="A3" s="1072">
        <v>3</v>
      </c>
    </row>
    <row r="4" spans="1:13" s="822" customFormat="1" ht="12.75" thickBot="1" x14ac:dyDescent="0.3">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2.75" x14ac:dyDescent="0.25">
      <c r="A5" s="820">
        <v>1</v>
      </c>
      <c r="B5" s="1004" t="str">
        <f>IFERROR(INDEX(C5:M5,$A$3-2),$C5)</f>
        <v>Version history</v>
      </c>
      <c r="C5" s="1004" t="s">
        <v>3901</v>
      </c>
    </row>
    <row r="6" spans="1:13" s="822" customFormat="1" ht="18" x14ac:dyDescent="0.25">
      <c r="A6" s="820">
        <v>2</v>
      </c>
      <c r="B6" s="106" t="str">
        <f t="shared" ref="B6:B69" si="0">IFERROR(INDEX(C6:M6,$A$3-2),$C6)</f>
        <v>Sheet "Version history"</v>
      </c>
      <c r="C6" s="106" t="s">
        <v>3903</v>
      </c>
    </row>
    <row r="7" spans="1:13" s="822" customFormat="1" ht="12.75" x14ac:dyDescent="0.25">
      <c r="A7" s="820">
        <v>3</v>
      </c>
      <c r="B7" s="139" t="str">
        <f t="shared" si="0"/>
        <v>Version</v>
      </c>
      <c r="C7" s="139" t="s">
        <v>3895</v>
      </c>
    </row>
    <row r="8" spans="1:13" s="822" customFormat="1" ht="12.75" x14ac:dyDescent="0.25">
      <c r="A8" s="820">
        <v>4</v>
      </c>
      <c r="B8" s="139" t="str">
        <f t="shared" si="0"/>
        <v>Date</v>
      </c>
      <c r="C8" s="139" t="s">
        <v>3896</v>
      </c>
    </row>
    <row r="9" spans="1:13" s="822" customFormat="1" ht="13.5" thickBot="1" x14ac:dyDescent="0.3">
      <c r="A9" s="820">
        <v>5</v>
      </c>
      <c r="B9" s="1005" t="str">
        <f t="shared" si="0"/>
        <v>Description</v>
      </c>
      <c r="C9" s="1005" t="s">
        <v>3902</v>
      </c>
    </row>
    <row r="10" spans="1:13" ht="13.5" thickBot="1" x14ac:dyDescent="0.3">
      <c r="A10" s="820">
        <v>6</v>
      </c>
      <c r="B10" s="1004" t="str">
        <f t="shared" si="0"/>
        <v>Table of contents</v>
      </c>
      <c r="C10" s="1004" t="s">
        <v>204</v>
      </c>
      <c r="D10" s="822"/>
      <c r="E10" s="822"/>
      <c r="F10" s="822"/>
      <c r="G10" s="822"/>
      <c r="H10" s="822"/>
    </row>
    <row r="11" spans="1:13" ht="13.5" thickBot="1" x14ac:dyDescent="0.3">
      <c r="A11" s="820">
        <v>7</v>
      </c>
      <c r="B11" s="1006" t="str">
        <f t="shared" si="0"/>
        <v>Navigation Area:</v>
      </c>
      <c r="C11" s="1006" t="s">
        <v>205</v>
      </c>
      <c r="D11" s="822"/>
      <c r="E11" s="822"/>
      <c r="F11" s="822"/>
      <c r="G11" s="822"/>
      <c r="H11" s="822"/>
    </row>
    <row r="12" spans="1:13" ht="18" x14ac:dyDescent="0.25">
      <c r="A12" s="820">
        <v>8</v>
      </c>
      <c r="B12" s="312" t="str">
        <f t="shared" si="0"/>
        <v>Sheet "Table of contents"</v>
      </c>
      <c r="C12" s="312" t="s">
        <v>2931</v>
      </c>
      <c r="D12" s="822"/>
      <c r="E12" s="822"/>
      <c r="F12" s="822"/>
      <c r="G12" s="822"/>
      <c r="H12" s="822"/>
    </row>
    <row r="13" spans="1:13" ht="12.75" x14ac:dyDescent="0.25">
      <c r="A13" s="820">
        <v>9</v>
      </c>
      <c r="B13" s="863" t="str">
        <f t="shared" si="0"/>
        <v>The following two sheets summarise the results at process and product level, respectively:</v>
      </c>
      <c r="C13" s="863" t="s">
        <v>2980</v>
      </c>
      <c r="D13" s="822"/>
      <c r="E13" s="822"/>
      <c r="F13" s="822"/>
      <c r="G13" s="822"/>
      <c r="H13" s="822"/>
    </row>
    <row r="14" spans="1:13" ht="13.5" thickBot="1" x14ac:dyDescent="0.3">
      <c r="A14" s="820">
        <v>10</v>
      </c>
      <c r="B14" s="863" t="str">
        <f t="shared" si="0"/>
        <v>The following sheet summarises the main information to be communicated to the reporting declarant:</v>
      </c>
      <c r="C14" s="863" t="s">
        <v>2981</v>
      </c>
      <c r="D14" s="822"/>
      <c r="E14" s="822"/>
      <c r="F14" s="822"/>
      <c r="G14" s="822"/>
      <c r="H14" s="822"/>
    </row>
    <row r="15" spans="1:13" ht="12.75" x14ac:dyDescent="0.25">
      <c r="A15" s="820">
        <v>11</v>
      </c>
      <c r="B15" s="630" t="str">
        <f t="shared" si="0"/>
        <v>Language version:</v>
      </c>
      <c r="C15" s="630" t="s">
        <v>562</v>
      </c>
      <c r="D15" s="822"/>
      <c r="E15" s="822"/>
      <c r="F15" s="822"/>
      <c r="G15" s="822"/>
      <c r="H15" s="822"/>
    </row>
    <row r="16" spans="1:13" ht="13.5" thickBot="1" x14ac:dyDescent="0.3">
      <c r="A16" s="820">
        <v>12</v>
      </c>
      <c r="B16" s="631" t="str">
        <f t="shared" si="0"/>
        <v>Reference filename:</v>
      </c>
      <c r="C16" s="631" t="s">
        <v>563</v>
      </c>
      <c r="D16" s="822"/>
      <c r="E16" s="822"/>
      <c r="F16" s="822"/>
      <c r="G16" s="822"/>
      <c r="H16" s="822"/>
    </row>
    <row r="17" spans="1:8" ht="13.5" thickBot="1" x14ac:dyDescent="0.3">
      <c r="A17" s="820">
        <v>13</v>
      </c>
      <c r="B17" s="632" t="str">
        <f t="shared" si="0"/>
        <v>Information about this file:</v>
      </c>
      <c r="C17" s="632" t="s">
        <v>564</v>
      </c>
      <c r="D17" s="822"/>
      <c r="E17" s="822"/>
      <c r="F17" s="822"/>
      <c r="G17" s="822"/>
      <c r="H17" s="822"/>
    </row>
    <row r="18" spans="1:8" ht="12.75" x14ac:dyDescent="0.25">
      <c r="A18" s="820">
        <v>14</v>
      </c>
      <c r="B18" s="630" t="str">
        <f t="shared" si="0"/>
        <v>Installation name:</v>
      </c>
      <c r="C18" s="630" t="s">
        <v>565</v>
      </c>
      <c r="D18" s="822"/>
      <c r="E18" s="822"/>
      <c r="F18" s="822"/>
      <c r="G18" s="822"/>
      <c r="H18" s="822"/>
    </row>
    <row r="19" spans="1:8" ht="13.5" thickBot="1" x14ac:dyDescent="0.25">
      <c r="A19" s="820">
        <v>15</v>
      </c>
      <c r="B19" s="1007" t="str">
        <f t="shared" si="0"/>
        <v>Reporting period:</v>
      </c>
      <c r="C19" s="1007" t="s">
        <v>3008</v>
      </c>
      <c r="D19" s="822"/>
      <c r="E19" s="822"/>
      <c r="F19" s="822"/>
      <c r="G19" s="822"/>
      <c r="H19" s="822"/>
    </row>
    <row r="20" spans="1:8" ht="13.5" thickBot="1" x14ac:dyDescent="0.25">
      <c r="A20" s="820">
        <v>16</v>
      </c>
      <c r="B20" s="1008" t="str">
        <f t="shared" si="0"/>
        <v>from:</v>
      </c>
      <c r="C20" s="1008" t="s">
        <v>566</v>
      </c>
      <c r="D20" s="822"/>
      <c r="E20" s="822"/>
      <c r="F20" s="822"/>
      <c r="G20" s="822"/>
      <c r="H20" s="822"/>
    </row>
    <row r="21" spans="1:8" ht="13.5" thickBot="1" x14ac:dyDescent="0.3">
      <c r="A21" s="820">
        <v>17</v>
      </c>
      <c r="B21" s="633" t="str">
        <f t="shared" si="0"/>
        <v>to:</v>
      </c>
      <c r="C21" s="633" t="s">
        <v>567</v>
      </c>
      <c r="D21" s="822"/>
      <c r="E21" s="822"/>
      <c r="F21" s="822"/>
      <c r="G21" s="822"/>
      <c r="H21" s="822"/>
    </row>
    <row r="22" spans="1:8" ht="12.75" x14ac:dyDescent="0.25">
      <c r="A22" s="820">
        <v>18</v>
      </c>
      <c r="B22" s="1004" t="str">
        <f t="shared" si="0"/>
        <v>Guidelines &amp; Conditions</v>
      </c>
      <c r="C22" s="1004" t="s">
        <v>221</v>
      </c>
      <c r="D22" s="822"/>
      <c r="E22" s="822"/>
      <c r="F22" s="822"/>
      <c r="G22" s="822"/>
      <c r="H22" s="822"/>
    </row>
    <row r="23" spans="1:8" ht="18" x14ac:dyDescent="0.25">
      <c r="A23" s="820">
        <v>19</v>
      </c>
      <c r="B23" s="312" t="str">
        <f t="shared" si="0"/>
        <v>Sheet "Guidelines &amp; conditions"</v>
      </c>
      <c r="C23" s="312" t="s">
        <v>2819</v>
      </c>
      <c r="D23" s="822"/>
      <c r="E23" s="822"/>
      <c r="F23" s="822"/>
      <c r="G23" s="822"/>
      <c r="H23" s="822"/>
    </row>
    <row r="24" spans="1:8" ht="15.75" x14ac:dyDescent="0.25">
      <c r="A24" s="820">
        <v>20</v>
      </c>
      <c r="B24" s="311" t="str">
        <f t="shared" si="0"/>
        <v>General Information on this Template</v>
      </c>
      <c r="C24" s="311" t="s">
        <v>207</v>
      </c>
      <c r="D24" s="822"/>
      <c r="E24" s="822"/>
      <c r="F24" s="822"/>
      <c r="G24" s="822"/>
      <c r="H24" s="822"/>
    </row>
    <row r="25" spans="1:8" ht="12.75" x14ac:dyDescent="0.25">
      <c r="A25" s="820">
        <v>21</v>
      </c>
      <c r="B25" s="157" t="str">
        <f t="shared" si="0"/>
        <v>General information</v>
      </c>
      <c r="C25" s="157" t="s">
        <v>2817</v>
      </c>
      <c r="D25" s="822"/>
      <c r="E25" s="822"/>
      <c r="F25" s="822"/>
      <c r="G25" s="822"/>
      <c r="H25" s="822"/>
    </row>
    <row r="26" spans="1:8" ht="12.75" x14ac:dyDescent="0.25">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5" x14ac:dyDescent="0.25">
      <c r="A27" s="820">
        <v>23</v>
      </c>
      <c r="B27" s="634" t="str">
        <f t="shared" si="0"/>
        <v>https://eur-lex.europa.eu/eli/reg/2023/956/oj</v>
      </c>
      <c r="C27" t="s">
        <v>2800</v>
      </c>
      <c r="D27" s="822"/>
      <c r="E27" s="822"/>
      <c r="F27" s="822"/>
      <c r="G27" s="822"/>
      <c r="H27" s="822"/>
    </row>
    <row r="28" spans="1:8" ht="12.75" x14ac:dyDescent="0.25">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5" x14ac:dyDescent="0.25">
      <c r="A29" s="820">
        <v>25</v>
      </c>
      <c r="B29" s="823" t="str">
        <f t="shared" si="0"/>
        <v>https://taxation-customs.ec.europa.eu/system/files/2023-08/C_2023_5512_1_EN_ACT_part1_v6.pdf</v>
      </c>
      <c r="C29" t="s">
        <v>4117</v>
      </c>
      <c r="D29" s="822"/>
      <c r="E29" s="822"/>
      <c r="F29" s="822"/>
      <c r="G29" s="822"/>
      <c r="H29" s="822"/>
    </row>
    <row r="30" spans="1:8" ht="12.75" x14ac:dyDescent="0.25">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2.75" x14ac:dyDescent="0.25">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2.75" x14ac:dyDescent="0.25">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2.75" x14ac:dyDescent="0.25">
      <c r="A33" s="820">
        <v>29</v>
      </c>
      <c r="B33" s="636" t="str">
        <f t="shared" si="0"/>
        <v>This is the 2nd published version of the CBAM template, version of 23 October 2023.</v>
      </c>
      <c r="C33" s="636" t="s">
        <v>4118</v>
      </c>
      <c r="D33" s="822"/>
      <c r="E33" s="822"/>
      <c r="F33" s="822"/>
      <c r="G33" s="822"/>
      <c r="H33" s="822"/>
    </row>
    <row r="34" spans="1:8" ht="15.75" x14ac:dyDescent="0.25">
      <c r="A34" s="820">
        <v>30</v>
      </c>
      <c r="B34" s="432" t="str">
        <f t="shared" si="0"/>
        <v>How to use this file</v>
      </c>
      <c r="C34" s="432" t="s">
        <v>209</v>
      </c>
      <c r="D34" s="822"/>
      <c r="E34" s="822"/>
      <c r="F34" s="822"/>
      <c r="G34" s="822"/>
      <c r="H34" s="822"/>
    </row>
    <row r="35" spans="1:8" ht="12.75" x14ac:dyDescent="0.25">
      <c r="A35" s="820">
        <v>31</v>
      </c>
      <c r="B35" s="866" t="str">
        <f t="shared" si="0"/>
        <v>Automatic calculation (to be found in the menu Formula/Calculation options) must be turned on.</v>
      </c>
      <c r="C35" s="866" t="s">
        <v>210</v>
      </c>
      <c r="D35" s="822"/>
      <c r="E35" s="822"/>
      <c r="F35" s="822"/>
      <c r="G35" s="822"/>
      <c r="H35" s="822"/>
    </row>
    <row r="36" spans="1:8" ht="12.75" x14ac:dyDescent="0.25">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2.75" x14ac:dyDescent="0.25">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2.75" x14ac:dyDescent="0.25">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2.75" x14ac:dyDescent="0.25">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2.75" x14ac:dyDescent="0.25">
      <c r="A40" s="820">
        <v>36</v>
      </c>
      <c r="B40" s="866" t="str">
        <f t="shared" si="0"/>
        <v>Special care must be taken of ensure consistency of data with the units displayed.</v>
      </c>
      <c r="C40" s="866" t="s">
        <v>4119</v>
      </c>
      <c r="D40" s="822"/>
      <c r="E40" s="822"/>
      <c r="F40" s="822"/>
      <c r="G40" s="822"/>
      <c r="H40" s="822"/>
    </row>
    <row r="41" spans="1:8" ht="12.75" x14ac:dyDescent="0.25">
      <c r="A41" s="820">
        <v>37</v>
      </c>
      <c r="B41" s="866" t="str">
        <f t="shared" si="0"/>
        <v>Colour codes and fonts:</v>
      </c>
      <c r="C41" s="866" t="s">
        <v>211</v>
      </c>
      <c r="D41" s="822"/>
      <c r="E41" s="822"/>
      <c r="F41" s="822"/>
      <c r="G41" s="822"/>
      <c r="H41" s="822"/>
    </row>
    <row r="42" spans="1:8" ht="12.75" x14ac:dyDescent="0.25">
      <c r="A42" s="820">
        <v>38</v>
      </c>
      <c r="B42" s="866" t="str">
        <f t="shared" si="0"/>
        <v>Black bold text:</v>
      </c>
      <c r="C42" s="866" t="s">
        <v>212</v>
      </c>
      <c r="D42" s="822"/>
      <c r="E42" s="822"/>
      <c r="F42" s="822"/>
      <c r="G42" s="822"/>
      <c r="H42" s="822"/>
    </row>
    <row r="43" spans="1:8" ht="12.75" x14ac:dyDescent="0.25">
      <c r="A43" s="820">
        <v>39</v>
      </c>
      <c r="B43" s="866" t="str">
        <f t="shared" si="0"/>
        <v>This is text describing the input required.</v>
      </c>
      <c r="C43" s="866" t="s">
        <v>213</v>
      </c>
      <c r="D43" s="822"/>
      <c r="E43" s="822"/>
      <c r="F43" s="822"/>
      <c r="G43" s="822"/>
      <c r="H43" s="822"/>
    </row>
    <row r="44" spans="1:8" ht="12.75" x14ac:dyDescent="0.25">
      <c r="A44" s="820">
        <v>40</v>
      </c>
      <c r="B44" s="866" t="str">
        <f t="shared" si="0"/>
        <v>Smaller italic text:</v>
      </c>
      <c r="C44" s="866" t="s">
        <v>214</v>
      </c>
      <c r="D44" s="822"/>
      <c r="E44" s="822"/>
      <c r="F44" s="822"/>
      <c r="G44" s="822"/>
      <c r="H44" s="822"/>
    </row>
    <row r="45" spans="1:8" ht="12.75" x14ac:dyDescent="0.25">
      <c r="A45" s="820">
        <v>41</v>
      </c>
      <c r="B45" s="866" t="str">
        <f t="shared" si="0"/>
        <v xml:space="preserve">This text gives further explanations. </v>
      </c>
      <c r="C45" s="866" t="s">
        <v>215</v>
      </c>
      <c r="D45" s="822"/>
      <c r="E45" s="822"/>
      <c r="F45" s="822"/>
      <c r="G45" s="822"/>
      <c r="H45" s="822"/>
    </row>
    <row r="46" spans="1:8" ht="12.75" x14ac:dyDescent="0.25">
      <c r="A46" s="820">
        <v>42</v>
      </c>
      <c r="B46" s="866" t="str">
        <f t="shared" si="0"/>
        <v>Yellow fields indicate mandatory inputs for the calculation of embedded emissions and for other information required.</v>
      </c>
      <c r="C46" s="866" t="s">
        <v>2825</v>
      </c>
      <c r="D46" s="822"/>
      <c r="E46" s="822"/>
      <c r="F46" s="822"/>
      <c r="G46" s="822"/>
      <c r="H46" s="822"/>
    </row>
    <row r="47" spans="1:8" ht="12.75" x14ac:dyDescent="0.25">
      <c r="A47" s="820">
        <v>43</v>
      </c>
      <c r="B47" s="866" t="str">
        <f t="shared" si="0"/>
        <v>Light yellow fields indicate that an input is optional.</v>
      </c>
      <c r="C47" s="866" t="s">
        <v>216</v>
      </c>
      <c r="D47" s="822"/>
      <c r="E47" s="822"/>
      <c r="F47" s="822"/>
      <c r="G47" s="822"/>
      <c r="H47" s="822"/>
    </row>
    <row r="48" spans="1:8" ht="12.75" x14ac:dyDescent="0.25">
      <c r="A48" s="820">
        <v>44</v>
      </c>
      <c r="B48" s="866" t="str">
        <f t="shared" si="0"/>
        <v>Green fields show automatically calculated results. Red text indicates error messages (missing data etc).</v>
      </c>
      <c r="C48" s="866" t="s">
        <v>217</v>
      </c>
      <c r="D48" s="822"/>
      <c r="E48" s="822"/>
      <c r="F48" s="822"/>
      <c r="G48" s="822"/>
      <c r="H48" s="822"/>
    </row>
    <row r="49" spans="1:8" ht="12.75" x14ac:dyDescent="0.25">
      <c r="A49" s="820">
        <v>45</v>
      </c>
      <c r="B49" s="866" t="str">
        <f t="shared" si="0"/>
        <v>Shaded fields indicate that an input in another field makes the input here irrelevant.</v>
      </c>
      <c r="C49" s="866" t="s">
        <v>4120</v>
      </c>
      <c r="D49" s="822"/>
      <c r="E49" s="822"/>
      <c r="F49" s="822"/>
      <c r="G49" s="822"/>
      <c r="H49" s="822"/>
    </row>
    <row r="50" spans="1:8" ht="12.75" x14ac:dyDescent="0.25">
      <c r="A50" s="820">
        <v>46</v>
      </c>
      <c r="B50" s="866" t="str">
        <f t="shared" si="0"/>
        <v>Light grey areas are dedicated for navigation and hyperlinks.</v>
      </c>
      <c r="C50" s="866" t="s">
        <v>218</v>
      </c>
      <c r="D50" s="822"/>
      <c r="E50" s="822"/>
      <c r="F50" s="822"/>
      <c r="G50" s="822"/>
      <c r="H50" s="822"/>
    </row>
    <row r="51" spans="1:8" ht="12.75" x14ac:dyDescent="0.25">
      <c r="A51" s="820">
        <v>47</v>
      </c>
      <c r="B51" s="866" t="str">
        <f t="shared" si="0"/>
        <v>Additionally, there are colour indicators in some sheets (e.g. D, E) indicating the following:</v>
      </c>
      <c r="C51" s="866" t="s">
        <v>4121</v>
      </c>
      <c r="D51" s="822"/>
      <c r="E51" s="822"/>
      <c r="F51" s="822"/>
      <c r="G51" s="822"/>
      <c r="H51" s="822"/>
    </row>
    <row r="52" spans="1:8" ht="12.75" x14ac:dyDescent="0.25">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2.75" x14ac:dyDescent="0.25">
      <c r="A53" s="820">
        <v>49</v>
      </c>
      <c r="B53" s="865" t="str">
        <f t="shared" si="0"/>
        <v>Red colour indicates data inputs are required but the relevant cells are empty or filled incorrectly.</v>
      </c>
      <c r="C53" s="865" t="s">
        <v>2830</v>
      </c>
      <c r="D53" s="822"/>
      <c r="E53" s="822"/>
      <c r="F53" s="822"/>
      <c r="G53" s="822"/>
      <c r="H53" s="822"/>
    </row>
    <row r="54" spans="1:8" ht="12.75" x14ac:dyDescent="0.25">
      <c r="A54" s="820">
        <v>50</v>
      </c>
      <c r="B54" s="865" t="str">
        <f t="shared" si="0"/>
        <v>Green colour indicates data inputs are required and cells have been filled correctly.</v>
      </c>
      <c r="C54" s="865" t="s">
        <v>2829</v>
      </c>
      <c r="D54" s="822"/>
      <c r="E54" s="822"/>
      <c r="F54" s="822"/>
      <c r="G54" s="822"/>
      <c r="H54" s="822"/>
    </row>
    <row r="55" spans="1:8" ht="12.75" x14ac:dyDescent="0.25">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2.75" x14ac:dyDescent="0.25">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2.75" x14ac:dyDescent="0.25">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2.75" x14ac:dyDescent="0.25">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2.75" x14ac:dyDescent="0.25">
      <c r="A59" s="820">
        <v>55</v>
      </c>
      <c r="B59" s="1010" t="str">
        <f t="shared" si="0"/>
        <v>Information sources:</v>
      </c>
      <c r="C59" s="1010" t="s">
        <v>219</v>
      </c>
      <c r="D59" s="822"/>
      <c r="E59" s="822"/>
      <c r="F59" s="822"/>
      <c r="G59" s="822"/>
      <c r="H59" s="822"/>
    </row>
    <row r="60" spans="1:8" ht="12.75" x14ac:dyDescent="0.25">
      <c r="A60" s="820">
        <v>56</v>
      </c>
      <c r="B60" s="1011" t="str">
        <f t="shared" si="0"/>
        <v>EU CBAM websites:</v>
      </c>
      <c r="C60" s="1011" t="s">
        <v>2827</v>
      </c>
      <c r="D60" s="822"/>
      <c r="E60" s="822"/>
      <c r="F60" s="822"/>
      <c r="G60" s="822"/>
      <c r="H60" s="822"/>
    </row>
    <row r="61" spans="1:8" ht="15" x14ac:dyDescent="0.25">
      <c r="A61" s="820">
        <v>57</v>
      </c>
      <c r="B61" s="862" t="str">
        <f t="shared" si="0"/>
        <v>https://taxation-customs.ec.europa.eu/carbon-border-adjustment-mechanism_en</v>
      </c>
      <c r="C61" t="s">
        <v>3893</v>
      </c>
      <c r="D61" s="822"/>
      <c r="E61" s="822"/>
      <c r="F61" s="822"/>
      <c r="G61" s="822"/>
      <c r="H61" s="822"/>
    </row>
    <row r="62" spans="1:8" ht="12.75" x14ac:dyDescent="0.25">
      <c r="A62" s="820">
        <v>58</v>
      </c>
      <c r="B62" s="1011" t="str">
        <f t="shared" si="0"/>
        <v>EU-Legislation:</v>
      </c>
      <c r="C62" s="1011" t="s">
        <v>220</v>
      </c>
      <c r="D62" s="822"/>
      <c r="E62" s="822"/>
      <c r="F62" s="822"/>
      <c r="G62" s="822"/>
      <c r="H62" s="822"/>
    </row>
    <row r="63" spans="1:8" ht="15.75" thickBot="1" x14ac:dyDescent="0.3">
      <c r="A63" s="820">
        <v>59</v>
      </c>
      <c r="B63" s="862" t="str">
        <f t="shared" si="0"/>
        <v>http://eur-lex.europa.eu/en/index.htm</v>
      </c>
      <c r="C63" t="s">
        <v>2826</v>
      </c>
      <c r="D63" s="822"/>
      <c r="E63" s="822"/>
      <c r="F63" s="822"/>
      <c r="G63" s="822"/>
      <c r="H63" s="822"/>
    </row>
    <row r="64" spans="1:8" ht="12.75" x14ac:dyDescent="0.25">
      <c r="A64" s="820">
        <v>60</v>
      </c>
      <c r="B64" s="1004" t="str">
        <f t="shared" si="0"/>
        <v>InstData</v>
      </c>
      <c r="C64" s="1004" t="s">
        <v>222</v>
      </c>
      <c r="D64" s="822"/>
      <c r="E64" s="822"/>
      <c r="F64" s="822"/>
      <c r="G64" s="822"/>
      <c r="H64" s="822"/>
    </row>
    <row r="65" spans="1:8" ht="18" x14ac:dyDescent="0.25">
      <c r="A65" s="820">
        <v>61</v>
      </c>
      <c r="B65" s="312" t="str">
        <f t="shared" si="0"/>
        <v xml:space="preserve">Sheet "A_InstData" - General information, production processes and purchased precursors </v>
      </c>
      <c r="C65" s="312" t="s">
        <v>433</v>
      </c>
      <c r="D65" s="822"/>
      <c r="E65" s="822"/>
      <c r="F65" s="822"/>
      <c r="G65" s="822"/>
      <c r="H65" s="822"/>
    </row>
    <row r="66" spans="1:8" ht="12.75" x14ac:dyDescent="0.25">
      <c r="A66" s="820">
        <v>62</v>
      </c>
      <c r="B66" s="157" t="str">
        <f t="shared" si="0"/>
        <v>Errors</v>
      </c>
      <c r="C66" s="157" t="s">
        <v>154</v>
      </c>
      <c r="D66" s="822"/>
      <c r="E66" s="822"/>
      <c r="F66" s="822"/>
      <c r="G66" s="822"/>
      <c r="H66" s="822"/>
    </row>
    <row r="67" spans="1:8" ht="18" x14ac:dyDescent="0.25">
      <c r="A67" s="820">
        <v>63</v>
      </c>
      <c r="B67" s="1012" t="str">
        <f t="shared" si="0"/>
        <v>Reporting period</v>
      </c>
      <c r="C67" s="1012" t="s">
        <v>231</v>
      </c>
      <c r="D67" s="822"/>
      <c r="E67" s="822"/>
      <c r="F67" s="822"/>
      <c r="G67" s="822"/>
      <c r="H67" s="822"/>
    </row>
    <row r="68" spans="1:8" ht="15" x14ac:dyDescent="0.25">
      <c r="A68" s="820">
        <v>64</v>
      </c>
      <c r="B68" s="1013" t="str">
        <f t="shared" si="0"/>
        <v>Start:</v>
      </c>
      <c r="C68" s="1013" t="s">
        <v>232</v>
      </c>
      <c r="D68" s="822"/>
      <c r="E68" s="822"/>
      <c r="F68" s="822"/>
      <c r="G68" s="822"/>
      <c r="H68" s="822"/>
    </row>
    <row r="69" spans="1:8" ht="15" x14ac:dyDescent="0.25">
      <c r="A69" s="820">
        <v>65</v>
      </c>
      <c r="B69" s="1013" t="str">
        <f t="shared" si="0"/>
        <v>End:</v>
      </c>
      <c r="C69" s="1013" t="s">
        <v>233</v>
      </c>
      <c r="D69" s="822"/>
      <c r="E69" s="822"/>
      <c r="F69" s="822"/>
      <c r="G69" s="822"/>
      <c r="H69" s="822"/>
    </row>
    <row r="70" spans="1:8" x14ac:dyDescent="0.25">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x14ac:dyDescent="0.25">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75" x14ac:dyDescent="0.25">
      <c r="A72" s="820">
        <v>68</v>
      </c>
      <c r="B72" s="311" t="str">
        <f t="shared" si="1"/>
        <v>About the installation</v>
      </c>
      <c r="C72" s="311" t="s">
        <v>3009</v>
      </c>
      <c r="D72" s="822"/>
      <c r="E72" s="822"/>
      <c r="F72" s="822"/>
      <c r="G72" s="822"/>
      <c r="H72" s="822"/>
    </row>
    <row r="73" spans="1:8" ht="12.75" x14ac:dyDescent="0.2">
      <c r="A73" s="820">
        <v>69</v>
      </c>
      <c r="B73" s="1014" t="str">
        <f t="shared" si="1"/>
        <v>Name of the installation (optional):</v>
      </c>
      <c r="C73" s="1014" t="s">
        <v>2966</v>
      </c>
      <c r="D73" s="822"/>
      <c r="E73" s="822"/>
      <c r="F73" s="822"/>
      <c r="G73" s="822"/>
      <c r="H73" s="822"/>
    </row>
    <row r="74" spans="1:8" ht="12.75" x14ac:dyDescent="0.2">
      <c r="A74" s="820">
        <v>70</v>
      </c>
      <c r="B74" s="1015" t="str">
        <f t="shared" si="1"/>
        <v>Name of the installation (English name):</v>
      </c>
      <c r="C74" s="1015" t="s">
        <v>2967</v>
      </c>
      <c r="D74" s="822"/>
      <c r="E74" s="822"/>
      <c r="F74" s="822"/>
      <c r="G74" s="822"/>
      <c r="H74" s="822"/>
    </row>
    <row r="75" spans="1:8" ht="12.75" x14ac:dyDescent="0.2">
      <c r="A75" s="820">
        <v>71</v>
      </c>
      <c r="B75" s="1016" t="str">
        <f t="shared" si="1"/>
        <v>Street, Number:</v>
      </c>
      <c r="C75" s="1016" t="s">
        <v>236</v>
      </c>
      <c r="D75" s="822"/>
      <c r="E75" s="822"/>
      <c r="F75" s="822"/>
      <c r="G75" s="822"/>
      <c r="H75" s="822"/>
    </row>
    <row r="76" spans="1:8" ht="12.75" x14ac:dyDescent="0.2">
      <c r="A76" s="820">
        <v>72</v>
      </c>
      <c r="B76" s="1016" t="str">
        <f t="shared" si="1"/>
        <v>Economic activity:</v>
      </c>
      <c r="C76" s="1016" t="s">
        <v>2746</v>
      </c>
      <c r="D76" s="822"/>
      <c r="E76" s="822"/>
      <c r="F76" s="822"/>
      <c r="G76" s="822"/>
      <c r="H76" s="822"/>
    </row>
    <row r="77" spans="1:8" ht="12.75" x14ac:dyDescent="0.2">
      <c r="A77" s="820">
        <v>73</v>
      </c>
      <c r="B77" s="1016" t="str">
        <f t="shared" si="1"/>
        <v>Post code:</v>
      </c>
      <c r="C77" s="1016" t="s">
        <v>237</v>
      </c>
      <c r="D77" s="822"/>
      <c r="E77" s="822"/>
      <c r="F77" s="822"/>
      <c r="G77" s="822"/>
      <c r="H77" s="822"/>
    </row>
    <row r="78" spans="1:8" ht="12.75" x14ac:dyDescent="0.2">
      <c r="A78" s="820">
        <v>74</v>
      </c>
      <c r="B78" s="1016" t="str">
        <f t="shared" si="1"/>
        <v>P.O. Box:</v>
      </c>
      <c r="C78" s="1016" t="s">
        <v>2740</v>
      </c>
      <c r="D78" s="822"/>
      <c r="E78" s="822"/>
      <c r="F78" s="822"/>
      <c r="G78" s="822"/>
      <c r="H78" s="822"/>
    </row>
    <row r="79" spans="1:8" ht="12.75" x14ac:dyDescent="0.2">
      <c r="A79" s="820">
        <v>75</v>
      </c>
      <c r="B79" s="1016" t="str">
        <f t="shared" si="1"/>
        <v>City:</v>
      </c>
      <c r="C79" s="1016" t="s">
        <v>238</v>
      </c>
      <c r="D79" s="822"/>
      <c r="E79" s="822"/>
      <c r="F79" s="822"/>
      <c r="G79" s="822"/>
      <c r="H79" s="822"/>
    </row>
    <row r="80" spans="1:8" ht="12.75" x14ac:dyDescent="0.2">
      <c r="A80" s="820">
        <v>76</v>
      </c>
      <c r="B80" s="1016" t="str">
        <f t="shared" si="1"/>
        <v>Country:</v>
      </c>
      <c r="C80" s="1016" t="s">
        <v>245</v>
      </c>
      <c r="D80" s="822"/>
      <c r="E80" s="822"/>
      <c r="F80" s="822"/>
      <c r="G80" s="822"/>
      <c r="H80" s="822"/>
    </row>
    <row r="81" spans="1:8" ht="12.75" x14ac:dyDescent="0.2">
      <c r="A81" s="820">
        <v>77</v>
      </c>
      <c r="B81" s="1016" t="str">
        <f t="shared" si="1"/>
        <v>UNLOCODE:</v>
      </c>
      <c r="C81" s="1016" t="s">
        <v>2741</v>
      </c>
      <c r="D81" s="822"/>
      <c r="E81" s="822"/>
      <c r="F81" s="822"/>
      <c r="G81" s="822"/>
      <c r="H81" s="822"/>
    </row>
    <row r="82" spans="1:8" ht="12.75" x14ac:dyDescent="0.2">
      <c r="A82" s="820">
        <v>78</v>
      </c>
      <c r="B82" s="1016" t="str">
        <f t="shared" si="1"/>
        <v>Coordinates of the main emission source (latitude):</v>
      </c>
      <c r="C82" s="1016" t="s">
        <v>2742</v>
      </c>
      <c r="D82" s="822"/>
      <c r="E82" s="822"/>
      <c r="F82" s="822"/>
      <c r="G82" s="822"/>
      <c r="H82" s="822"/>
    </row>
    <row r="83" spans="1:8" ht="12.75" x14ac:dyDescent="0.2">
      <c r="A83" s="820">
        <v>79</v>
      </c>
      <c r="B83" s="1016" t="str">
        <f t="shared" si="1"/>
        <v>Coordinates of the main emission source (longitude):</v>
      </c>
      <c r="C83" s="1016" t="s">
        <v>2743</v>
      </c>
      <c r="D83" s="822"/>
      <c r="E83" s="822"/>
      <c r="F83" s="822"/>
      <c r="G83" s="822"/>
      <c r="H83" s="822"/>
    </row>
    <row r="84" spans="1:8" ht="12.75" x14ac:dyDescent="0.2">
      <c r="A84" s="820">
        <v>80</v>
      </c>
      <c r="B84" s="1016" t="str">
        <f t="shared" si="1"/>
        <v>Name of authorized representative:</v>
      </c>
      <c r="C84" s="1016" t="s">
        <v>239</v>
      </c>
      <c r="D84" s="822"/>
      <c r="E84" s="822"/>
      <c r="F84" s="822"/>
      <c r="G84" s="822"/>
      <c r="H84" s="822"/>
    </row>
    <row r="85" spans="1:8" ht="12.75" x14ac:dyDescent="0.2">
      <c r="A85" s="820">
        <v>81</v>
      </c>
      <c r="B85" s="1016" t="str">
        <f t="shared" si="1"/>
        <v>Email:</v>
      </c>
      <c r="C85" s="1016" t="s">
        <v>240</v>
      </c>
      <c r="D85" s="822"/>
      <c r="E85" s="822"/>
      <c r="F85" s="822"/>
      <c r="G85" s="822"/>
      <c r="H85" s="822"/>
    </row>
    <row r="86" spans="1:8" ht="12.75" x14ac:dyDescent="0.2">
      <c r="A86" s="820">
        <v>82</v>
      </c>
      <c r="B86" s="1017" t="str">
        <f t="shared" si="1"/>
        <v>Telephone:</v>
      </c>
      <c r="C86" s="1017" t="s">
        <v>241</v>
      </c>
      <c r="D86" s="822"/>
      <c r="E86" s="822"/>
      <c r="F86" s="822"/>
      <c r="G86" s="822"/>
      <c r="H86" s="822"/>
    </row>
    <row r="87" spans="1:8" ht="15.75" x14ac:dyDescent="0.25">
      <c r="A87" s="820">
        <v>83</v>
      </c>
      <c r="B87" s="311" t="str">
        <f t="shared" si="1"/>
        <v>Verifier of the report – only if available and not required during transitional period</v>
      </c>
      <c r="C87" s="311" t="s">
        <v>3003</v>
      </c>
      <c r="D87" s="822"/>
      <c r="E87" s="822"/>
      <c r="F87" s="822"/>
      <c r="G87" s="822"/>
      <c r="H87" s="822"/>
    </row>
    <row r="88" spans="1:8" ht="12.75" x14ac:dyDescent="0.25">
      <c r="A88" s="820">
        <v>84</v>
      </c>
      <c r="B88" s="157" t="str">
        <f t="shared" si="1"/>
        <v>Verifier</v>
      </c>
      <c r="C88" s="157" t="s">
        <v>636</v>
      </c>
      <c r="D88" s="822"/>
      <c r="E88" s="822"/>
      <c r="F88" s="822"/>
      <c r="G88" s="822"/>
      <c r="H88" s="822"/>
    </row>
    <row r="89" spans="1:8" ht="12.75" x14ac:dyDescent="0.25">
      <c r="A89" s="820">
        <v>85</v>
      </c>
      <c r="B89" s="632" t="str">
        <f t="shared" si="1"/>
        <v>Name and address of the verifier of this report:</v>
      </c>
      <c r="C89" s="632" t="s">
        <v>255</v>
      </c>
      <c r="D89" s="822"/>
      <c r="E89" s="822"/>
      <c r="F89" s="822"/>
      <c r="G89" s="822"/>
      <c r="H89" s="822"/>
    </row>
    <row r="90" spans="1:8" ht="12.75" x14ac:dyDescent="0.2">
      <c r="A90" s="820">
        <v>86</v>
      </c>
      <c r="B90" s="1014" t="str">
        <f t="shared" si="1"/>
        <v>Company Name:</v>
      </c>
      <c r="C90" s="1014" t="s">
        <v>243</v>
      </c>
      <c r="D90" s="822"/>
      <c r="E90" s="822"/>
      <c r="F90" s="822"/>
      <c r="G90" s="822"/>
      <c r="H90" s="822"/>
    </row>
    <row r="91" spans="1:8" ht="12.75" x14ac:dyDescent="0.2">
      <c r="A91" s="820">
        <v>87</v>
      </c>
      <c r="B91" s="1015" t="str">
        <f t="shared" si="1"/>
        <v>Postcode/ZIP:</v>
      </c>
      <c r="C91" s="1015" t="s">
        <v>244</v>
      </c>
      <c r="D91" s="822"/>
      <c r="E91" s="822"/>
      <c r="F91" s="822"/>
      <c r="G91" s="822"/>
      <c r="H91" s="822"/>
    </row>
    <row r="92" spans="1:8" ht="12.75" x14ac:dyDescent="0.25">
      <c r="A92" s="820">
        <v>88</v>
      </c>
      <c r="B92" s="632" t="str">
        <f t="shared" si="1"/>
        <v>Authorised representative of the verifier:</v>
      </c>
      <c r="C92" s="632" t="s">
        <v>246</v>
      </c>
      <c r="D92" s="822"/>
      <c r="E92" s="822"/>
      <c r="F92" s="822"/>
      <c r="G92" s="822"/>
      <c r="H92" s="822"/>
    </row>
    <row r="93" spans="1:8" x14ac:dyDescent="0.25">
      <c r="A93" s="820">
        <v>89</v>
      </c>
      <c r="B93" s="640" t="str">
        <f t="shared" si="1"/>
        <v>The nominated person should be familiar with this report. Ideally it is the lead verifier involved with this report.</v>
      </c>
      <c r="C93" s="640" t="s">
        <v>247</v>
      </c>
      <c r="D93" s="822"/>
      <c r="E93" s="822"/>
      <c r="F93" s="822"/>
      <c r="G93" s="822"/>
      <c r="H93" s="822"/>
    </row>
    <row r="94" spans="1:8" ht="12.75" x14ac:dyDescent="0.2">
      <c r="A94" s="820">
        <v>90</v>
      </c>
      <c r="B94" s="1014" t="str">
        <f t="shared" si="1"/>
        <v>Name:</v>
      </c>
      <c r="C94" s="1014" t="s">
        <v>242</v>
      </c>
      <c r="D94" s="822"/>
      <c r="E94" s="822"/>
      <c r="F94" s="822"/>
      <c r="G94" s="822"/>
      <c r="H94" s="822"/>
    </row>
    <row r="95" spans="1:8" ht="12.75" x14ac:dyDescent="0.2">
      <c r="A95" s="820">
        <v>91</v>
      </c>
      <c r="B95" s="1015" t="str">
        <f t="shared" si="1"/>
        <v>Email address:</v>
      </c>
      <c r="C95" s="1015" t="s">
        <v>248</v>
      </c>
      <c r="D95" s="822"/>
      <c r="E95" s="822"/>
      <c r="F95" s="822"/>
      <c r="G95" s="822"/>
      <c r="H95" s="822"/>
    </row>
    <row r="96" spans="1:8" ht="12.75" x14ac:dyDescent="0.2">
      <c r="A96" s="820">
        <v>92</v>
      </c>
      <c r="B96" s="1015" t="str">
        <f t="shared" si="1"/>
        <v>Telephone number:</v>
      </c>
      <c r="C96" s="1015" t="s">
        <v>249</v>
      </c>
      <c r="D96" s="822"/>
      <c r="E96" s="822"/>
      <c r="F96" s="822"/>
      <c r="G96" s="822"/>
      <c r="H96" s="822"/>
    </row>
    <row r="97" spans="1:8" ht="12.75" x14ac:dyDescent="0.2">
      <c r="A97" s="820">
        <v>93</v>
      </c>
      <c r="B97" s="1017" t="str">
        <f t="shared" si="1"/>
        <v>Fax:</v>
      </c>
      <c r="C97" s="1017" t="s">
        <v>250</v>
      </c>
      <c r="D97" s="822"/>
      <c r="E97" s="822"/>
      <c r="F97" s="822"/>
      <c r="G97" s="822"/>
      <c r="H97" s="822"/>
    </row>
    <row r="98" spans="1:8" ht="12.75" x14ac:dyDescent="0.25">
      <c r="A98" s="820">
        <v>94</v>
      </c>
      <c r="B98" s="632" t="str">
        <f t="shared" si="1"/>
        <v>Information about the verifier's accreditation:</v>
      </c>
      <c r="C98" s="632" t="s">
        <v>251</v>
      </c>
      <c r="D98" s="822"/>
      <c r="E98" s="822"/>
      <c r="F98" s="822"/>
      <c r="G98" s="822"/>
      <c r="H98" s="822"/>
    </row>
    <row r="99" spans="1:8" ht="12.75" x14ac:dyDescent="0.2">
      <c r="A99" s="820">
        <v>95</v>
      </c>
      <c r="B99" s="1014" t="str">
        <f t="shared" si="1"/>
        <v>Accreditation Member State:</v>
      </c>
      <c r="C99" s="1014" t="s">
        <v>252</v>
      </c>
      <c r="D99" s="822"/>
      <c r="E99" s="822"/>
      <c r="F99" s="822"/>
      <c r="G99" s="822"/>
      <c r="H99" s="822"/>
    </row>
    <row r="100" spans="1:8" ht="12.75" x14ac:dyDescent="0.2">
      <c r="A100" s="820">
        <v>96</v>
      </c>
      <c r="B100" s="1015" t="str">
        <f t="shared" si="1"/>
        <v>Name of the national accreditation body:</v>
      </c>
      <c r="C100" s="1015" t="s">
        <v>253</v>
      </c>
      <c r="D100" s="822"/>
      <c r="E100" s="822"/>
      <c r="F100" s="822"/>
      <c r="G100" s="822"/>
      <c r="H100" s="822"/>
    </row>
    <row r="101" spans="1:8" ht="12.75" x14ac:dyDescent="0.2">
      <c r="A101" s="820">
        <v>97</v>
      </c>
      <c r="B101" s="1017" t="str">
        <f t="shared" si="1"/>
        <v>Registration number issued by the Accreditation body:</v>
      </c>
      <c r="C101" s="1017" t="s">
        <v>254</v>
      </c>
      <c r="D101" s="822"/>
      <c r="E101" s="822"/>
      <c r="F101" s="822"/>
      <c r="G101" s="822"/>
      <c r="H101" s="822"/>
    </row>
    <row r="102" spans="1:8" ht="15.75" x14ac:dyDescent="0.25">
      <c r="A102" s="820">
        <v>98</v>
      </c>
      <c r="B102" s="311" t="str">
        <f t="shared" si="1"/>
        <v>Aggregated goods categories and relevant production processes</v>
      </c>
      <c r="C102" s="311" t="s">
        <v>575</v>
      </c>
      <c r="D102" s="822"/>
      <c r="E102" s="822"/>
      <c r="F102" s="822"/>
      <c r="G102" s="822"/>
      <c r="H102" s="822"/>
    </row>
    <row r="103" spans="1:8" ht="12.75" x14ac:dyDescent="0.25">
      <c r="A103" s="820">
        <v>99</v>
      </c>
      <c r="B103" s="157" t="str">
        <f t="shared" si="1"/>
        <v>Goods &amp; precursors</v>
      </c>
      <c r="C103" s="157" t="s">
        <v>3010</v>
      </c>
      <c r="D103" s="822"/>
      <c r="E103" s="822"/>
      <c r="F103" s="822"/>
      <c r="G103" s="822"/>
      <c r="H103" s="822"/>
    </row>
    <row r="104" spans="1:8" ht="12.75" x14ac:dyDescent="0.25">
      <c r="A104" s="820">
        <v>100</v>
      </c>
      <c r="B104" s="632" t="str">
        <f t="shared" si="1"/>
        <v>List of aggregated goods categories, relevant precursors and corresponding production routes</v>
      </c>
      <c r="C104" s="632" t="s">
        <v>578</v>
      </c>
      <c r="D104" s="822"/>
      <c r="E104" s="822"/>
      <c r="F104" s="822"/>
      <c r="G104" s="822"/>
      <c r="H104" s="822"/>
    </row>
    <row r="105" spans="1:8" x14ac:dyDescent="0.25">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x14ac:dyDescent="0.25">
      <c r="A106" s="820">
        <v>102</v>
      </c>
      <c r="B106" s="641" t="str">
        <f t="shared" si="1"/>
        <v>Where relevant, please list all production routes through which the aggregated goods are produced.</v>
      </c>
      <c r="C106" s="641" t="s">
        <v>591</v>
      </c>
      <c r="D106" s="822"/>
      <c r="E106" s="822"/>
      <c r="F106" s="822"/>
      <c r="G106" s="822"/>
      <c r="H106" s="822"/>
    </row>
    <row r="107" spans="1:8" ht="12.75" x14ac:dyDescent="0.25">
      <c r="A107" s="820">
        <v>103</v>
      </c>
      <c r="B107" s="859" t="str">
        <f t="shared" si="1"/>
        <v>Aggregated goods category</v>
      </c>
      <c r="C107" s="859" t="s">
        <v>574</v>
      </c>
      <c r="D107" s="822"/>
      <c r="E107" s="822"/>
      <c r="F107" s="822"/>
      <c r="G107" s="822"/>
      <c r="H107" s="822"/>
    </row>
    <row r="108" spans="1:8" ht="12.75" x14ac:dyDescent="0.25">
      <c r="A108" s="820">
        <v>104</v>
      </c>
      <c r="B108" s="859" t="str">
        <f t="shared" si="1"/>
        <v>Route</v>
      </c>
      <c r="C108" s="859" t="s">
        <v>288</v>
      </c>
      <c r="D108" s="822"/>
      <c r="E108" s="822"/>
      <c r="F108" s="822"/>
      <c r="G108" s="822"/>
      <c r="H108" s="822"/>
    </row>
    <row r="109" spans="1:8" ht="12.75" x14ac:dyDescent="0.2">
      <c r="A109" s="820">
        <v>105</v>
      </c>
      <c r="B109" s="867" t="str">
        <f t="shared" si="1"/>
        <v>Route 1</v>
      </c>
      <c r="C109" s="867" t="s">
        <v>282</v>
      </c>
      <c r="D109" s="822"/>
      <c r="E109" s="822"/>
      <c r="F109" s="822"/>
      <c r="G109" s="822"/>
      <c r="H109" s="822"/>
    </row>
    <row r="110" spans="1:8" ht="12.75" x14ac:dyDescent="0.2">
      <c r="A110" s="820">
        <v>106</v>
      </c>
      <c r="B110" s="867" t="str">
        <f t="shared" si="1"/>
        <v>Route 2</v>
      </c>
      <c r="C110" s="867" t="s">
        <v>283</v>
      </c>
      <c r="D110" s="822"/>
      <c r="E110" s="822"/>
      <c r="F110" s="822"/>
      <c r="G110" s="822"/>
      <c r="H110" s="822"/>
    </row>
    <row r="111" spans="1:8" ht="12.75" x14ac:dyDescent="0.2">
      <c r="A111" s="820">
        <v>107</v>
      </c>
      <c r="B111" s="867" t="str">
        <f t="shared" si="1"/>
        <v>Route 3</v>
      </c>
      <c r="C111" s="867" t="s">
        <v>284</v>
      </c>
      <c r="D111" s="822"/>
      <c r="E111" s="822"/>
      <c r="F111" s="822"/>
      <c r="G111" s="822"/>
      <c r="H111" s="822"/>
    </row>
    <row r="112" spans="1:8" ht="12.75" x14ac:dyDescent="0.2">
      <c r="A112" s="820">
        <v>108</v>
      </c>
      <c r="B112" s="867" t="str">
        <f t="shared" si="1"/>
        <v>Route 4</v>
      </c>
      <c r="C112" s="867" t="s">
        <v>285</v>
      </c>
      <c r="D112" s="822"/>
      <c r="E112" s="822"/>
      <c r="F112" s="822"/>
      <c r="G112" s="822"/>
      <c r="H112" s="822"/>
    </row>
    <row r="113" spans="1:8" ht="12.75" x14ac:dyDescent="0.2">
      <c r="A113" s="820">
        <v>109</v>
      </c>
      <c r="B113" s="867" t="str">
        <f t="shared" si="1"/>
        <v>Route 5</v>
      </c>
      <c r="C113" s="867" t="s">
        <v>286</v>
      </c>
      <c r="D113" s="822"/>
      <c r="E113" s="822"/>
      <c r="F113" s="822"/>
      <c r="G113" s="822"/>
      <c r="H113" s="822"/>
    </row>
    <row r="114" spans="1:8" ht="12.75" x14ac:dyDescent="0.2">
      <c r="A114" s="820">
        <v>110</v>
      </c>
      <c r="B114" s="867" t="str">
        <f t="shared" si="1"/>
        <v>Route 6</v>
      </c>
      <c r="C114" s="867" t="s">
        <v>287</v>
      </c>
      <c r="D114" s="822"/>
      <c r="E114" s="822"/>
      <c r="F114" s="822"/>
      <c r="G114" s="822"/>
      <c r="H114" s="822"/>
    </row>
    <row r="115" spans="1:8" x14ac:dyDescent="0.25">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2.75" x14ac:dyDescent="0.2">
      <c r="A116" s="820">
        <v>112</v>
      </c>
      <c r="B116" s="1018" t="str">
        <f t="shared" si="1"/>
        <v>Relevant precursors:</v>
      </c>
      <c r="C116" s="1018" t="s">
        <v>2961</v>
      </c>
      <c r="D116" s="822"/>
      <c r="E116" s="822"/>
      <c r="F116" s="822"/>
      <c r="G116" s="822"/>
      <c r="H116" s="822"/>
    </row>
    <row r="117" spans="1:8" ht="12.75" x14ac:dyDescent="0.25">
      <c r="A117" s="820">
        <v>113</v>
      </c>
      <c r="B117" s="632" t="str">
        <f t="shared" si="1"/>
        <v>Relevant production processes</v>
      </c>
      <c r="C117" s="632" t="s">
        <v>568</v>
      </c>
      <c r="D117" s="822"/>
      <c r="E117" s="822"/>
      <c r="F117" s="822"/>
      <c r="G117" s="822"/>
      <c r="H117" s="822"/>
    </row>
    <row r="118" spans="1:8" x14ac:dyDescent="0.25">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x14ac:dyDescent="0.25">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2.75" x14ac:dyDescent="0.2">
      <c r="A120" s="820">
        <v>116</v>
      </c>
      <c r="B120" s="871" t="str">
        <f t="shared" si="1"/>
        <v>Production process</v>
      </c>
      <c r="C120" s="871" t="s">
        <v>281</v>
      </c>
      <c r="D120" s="822"/>
      <c r="E120" s="822"/>
      <c r="F120" s="822"/>
      <c r="G120" s="822"/>
      <c r="H120" s="822"/>
    </row>
    <row r="121" spans="1:8" ht="12.75" x14ac:dyDescent="0.2">
      <c r="A121" s="820">
        <v>117</v>
      </c>
      <c r="B121" s="1019" t="str">
        <f t="shared" si="1"/>
        <v>Included goods categories listed under (a)</v>
      </c>
      <c r="C121" s="1019" t="s">
        <v>580</v>
      </c>
      <c r="D121" s="822"/>
      <c r="E121" s="822"/>
      <c r="F121" s="822"/>
      <c r="G121" s="822"/>
      <c r="H121" s="822"/>
    </row>
    <row r="122" spans="1:8" ht="12.75" x14ac:dyDescent="0.2">
      <c r="A122" s="820">
        <v>118</v>
      </c>
      <c r="B122" s="868" t="str">
        <f t="shared" si="1"/>
        <v>Name</v>
      </c>
      <c r="C122" s="868" t="s">
        <v>38</v>
      </c>
      <c r="D122" s="822"/>
      <c r="E122" s="822"/>
      <c r="F122" s="822"/>
      <c r="G122" s="822"/>
      <c r="H122" s="822"/>
    </row>
    <row r="123" spans="1:8" ht="12.75" x14ac:dyDescent="0.2">
      <c r="A123" s="820">
        <v>119</v>
      </c>
      <c r="B123" s="871" t="str">
        <f t="shared" si="1"/>
        <v>Error message</v>
      </c>
      <c r="C123" s="871" t="s">
        <v>35</v>
      </c>
      <c r="D123" s="822"/>
      <c r="E123" s="822"/>
      <c r="F123" s="822"/>
      <c r="G123" s="822"/>
      <c r="H123" s="822"/>
    </row>
    <row r="124" spans="1:8" ht="15.75" x14ac:dyDescent="0.25">
      <c r="A124" s="820">
        <v>120</v>
      </c>
      <c r="B124" s="311" t="str">
        <f t="shared" si="1"/>
        <v>Purchased precursors</v>
      </c>
      <c r="C124" s="311" t="s">
        <v>313</v>
      </c>
      <c r="D124" s="822"/>
      <c r="E124" s="822"/>
      <c r="F124" s="822"/>
      <c r="G124" s="822"/>
      <c r="H124" s="822"/>
    </row>
    <row r="125" spans="1:8" x14ac:dyDescent="0.25">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75" thickBot="1" x14ac:dyDescent="0.3">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2.75" x14ac:dyDescent="0.25">
      <c r="A127" s="820">
        <v>123</v>
      </c>
      <c r="B127" s="1004" t="str">
        <f t="shared" si="1"/>
        <v>Source streams</v>
      </c>
      <c r="C127" s="1004" t="s">
        <v>276</v>
      </c>
      <c r="D127" s="822"/>
      <c r="E127" s="822"/>
      <c r="F127" s="822"/>
      <c r="G127" s="822"/>
      <c r="H127" s="822"/>
    </row>
    <row r="128" spans="1:8" ht="18" x14ac:dyDescent="0.25">
      <c r="A128" s="820">
        <v>124</v>
      </c>
      <c r="B128" s="312" t="str">
        <f t="shared" si="1"/>
        <v>Sheet "B_EmInst" - Installation's emission at source stream and emission source level</v>
      </c>
      <c r="C128" s="312" t="s">
        <v>2816</v>
      </c>
      <c r="D128" s="822"/>
      <c r="E128" s="822"/>
      <c r="F128" s="822"/>
      <c r="G128" s="822"/>
      <c r="H128" s="822"/>
    </row>
    <row r="129" spans="1:8" ht="12.75" x14ac:dyDescent="0.25">
      <c r="A129" s="820">
        <v>125</v>
      </c>
      <c r="B129" s="1020" t="str">
        <f t="shared" si="1"/>
        <v>Source streams and emission sources</v>
      </c>
      <c r="C129" s="1020" t="s">
        <v>52</v>
      </c>
      <c r="D129" s="822"/>
      <c r="E129" s="822"/>
      <c r="F129" s="822"/>
      <c r="G129" s="822"/>
      <c r="H129" s="822"/>
    </row>
    <row r="130" spans="1:8" ht="16.5" thickBot="1" x14ac:dyDescent="0.3">
      <c r="A130" s="820">
        <v>126</v>
      </c>
      <c r="B130" s="15" t="str">
        <f t="shared" si="1"/>
        <v>Source Streams (excluding PFC emissions)</v>
      </c>
      <c r="C130" s="15" t="s">
        <v>4126</v>
      </c>
      <c r="D130" s="822"/>
      <c r="E130" s="822"/>
      <c r="F130" s="822"/>
      <c r="G130" s="822"/>
      <c r="H130" s="822"/>
    </row>
    <row r="131" spans="1:8" ht="13.5" thickBot="1" x14ac:dyDescent="0.25">
      <c r="A131" s="820">
        <v>127</v>
      </c>
      <c r="B131" s="1021" t="str">
        <f t="shared" si="1"/>
        <v>#</v>
      </c>
      <c r="C131" s="1021" t="s">
        <v>53</v>
      </c>
      <c r="D131" s="822"/>
      <c r="E131" s="822"/>
      <c r="F131" s="822"/>
      <c r="G131" s="822"/>
      <c r="H131" s="822"/>
    </row>
    <row r="132" spans="1:8" ht="13.5" thickBot="1" x14ac:dyDescent="0.25">
      <c r="A132" s="820">
        <v>128</v>
      </c>
      <c r="B132" s="1022" t="str">
        <f t="shared" si="1"/>
        <v>Method</v>
      </c>
      <c r="C132" s="1022" t="s">
        <v>54</v>
      </c>
      <c r="D132" s="822"/>
      <c r="E132" s="822"/>
      <c r="F132" s="822"/>
      <c r="G132" s="822"/>
      <c r="H132" s="822"/>
    </row>
    <row r="133" spans="1:8" ht="13.5" thickBot="1" x14ac:dyDescent="0.25">
      <c r="A133" s="820">
        <v>129</v>
      </c>
      <c r="B133" s="1022" t="str">
        <f t="shared" si="1"/>
        <v>Source stream name</v>
      </c>
      <c r="C133" s="1022" t="s">
        <v>55</v>
      </c>
      <c r="D133" s="822"/>
      <c r="E133" s="822"/>
      <c r="F133" s="822"/>
      <c r="G133" s="822"/>
      <c r="H133" s="822"/>
    </row>
    <row r="134" spans="1:8" ht="13.5" thickBot="1" x14ac:dyDescent="0.25">
      <c r="A134" s="820">
        <v>130</v>
      </c>
      <c r="B134" s="1022" t="str">
        <f t="shared" ref="B134:B197" si="2">IFERROR(INDEX(C134:M134,$A$3-2),$C134)</f>
        <v>Activity data (AD)</v>
      </c>
      <c r="C134" s="1022" t="s">
        <v>2838</v>
      </c>
      <c r="D134" s="822"/>
      <c r="E134" s="822"/>
      <c r="F134" s="822"/>
      <c r="G134" s="822"/>
      <c r="H134" s="822"/>
    </row>
    <row r="135" spans="1:8" ht="13.5" thickBot="1" x14ac:dyDescent="0.25">
      <c r="A135" s="820">
        <v>131</v>
      </c>
      <c r="B135" s="1022" t="str">
        <f t="shared" si="2"/>
        <v>AD Unit</v>
      </c>
      <c r="C135" s="1022" t="s">
        <v>56</v>
      </c>
      <c r="D135" s="822"/>
      <c r="E135" s="822"/>
      <c r="F135" s="822"/>
      <c r="G135" s="822"/>
      <c r="H135" s="822"/>
    </row>
    <row r="136" spans="1:8" ht="13.5" thickBot="1" x14ac:dyDescent="0.25">
      <c r="A136" s="820">
        <v>132</v>
      </c>
      <c r="B136" s="1022" t="str">
        <f t="shared" si="2"/>
        <v>Net calorific value (NCV)</v>
      </c>
      <c r="C136" s="1022" t="s">
        <v>3011</v>
      </c>
      <c r="D136" s="822"/>
      <c r="E136" s="822"/>
      <c r="F136" s="822"/>
      <c r="G136" s="822"/>
      <c r="H136" s="822"/>
    </row>
    <row r="137" spans="1:8" ht="13.5" thickBot="1" x14ac:dyDescent="0.25">
      <c r="A137" s="820">
        <v>133</v>
      </c>
      <c r="B137" s="1022" t="str">
        <f t="shared" si="2"/>
        <v>NCV Unit</v>
      </c>
      <c r="C137" s="1022" t="s">
        <v>57</v>
      </c>
      <c r="D137" s="822"/>
      <c r="E137" s="822"/>
      <c r="F137" s="822"/>
      <c r="G137" s="822"/>
      <c r="H137" s="822"/>
    </row>
    <row r="138" spans="1:8" ht="13.5" thickBot="1" x14ac:dyDescent="0.25">
      <c r="A138" s="820">
        <v>134</v>
      </c>
      <c r="B138" s="1022" t="str">
        <f t="shared" si="2"/>
        <v>Emission factor (EF)</v>
      </c>
      <c r="C138" s="1022" t="s">
        <v>3012</v>
      </c>
      <c r="D138" s="822"/>
      <c r="E138" s="822"/>
      <c r="F138" s="822"/>
      <c r="G138" s="822"/>
      <c r="H138" s="822"/>
    </row>
    <row r="139" spans="1:8" ht="13.5" thickBot="1" x14ac:dyDescent="0.25">
      <c r="A139" s="820">
        <v>135</v>
      </c>
      <c r="B139" s="1022" t="str">
        <f t="shared" si="2"/>
        <v>EF Unit</v>
      </c>
      <c r="C139" s="1022" t="s">
        <v>58</v>
      </c>
      <c r="D139" s="822"/>
      <c r="E139" s="822"/>
      <c r="F139" s="822"/>
      <c r="G139" s="822"/>
      <c r="H139" s="822"/>
    </row>
    <row r="140" spans="1:8" ht="13.5" thickBot="1" x14ac:dyDescent="0.25">
      <c r="A140" s="820">
        <v>136</v>
      </c>
      <c r="B140" s="1022" t="str">
        <f t="shared" si="2"/>
        <v>Carbon content</v>
      </c>
      <c r="C140" s="1022" t="s">
        <v>3013</v>
      </c>
      <c r="D140" s="822"/>
      <c r="E140" s="822"/>
      <c r="F140" s="822"/>
      <c r="G140" s="822"/>
      <c r="H140" s="822"/>
    </row>
    <row r="141" spans="1:8" ht="13.5" thickBot="1" x14ac:dyDescent="0.25">
      <c r="A141" s="820">
        <v>137</v>
      </c>
      <c r="B141" s="1022" t="str">
        <f t="shared" si="2"/>
        <v>C-Content Unit</v>
      </c>
      <c r="C141" s="1022" t="s">
        <v>59</v>
      </c>
      <c r="D141" s="822"/>
      <c r="E141" s="822"/>
      <c r="F141" s="822"/>
      <c r="G141" s="822"/>
      <c r="H141" s="822"/>
    </row>
    <row r="142" spans="1:8" ht="13.5" thickBot="1" x14ac:dyDescent="0.25">
      <c r="A142" s="820">
        <v>138</v>
      </c>
      <c r="B142" s="1022" t="str">
        <f t="shared" si="2"/>
        <v>Oxidation factor (OxF)</v>
      </c>
      <c r="C142" s="1022" t="s">
        <v>3014</v>
      </c>
      <c r="D142" s="822"/>
      <c r="E142" s="822"/>
      <c r="F142" s="822"/>
      <c r="G142" s="822"/>
      <c r="H142" s="822"/>
    </row>
    <row r="143" spans="1:8" ht="13.5" thickBot="1" x14ac:dyDescent="0.25">
      <c r="A143" s="820">
        <v>139</v>
      </c>
      <c r="B143" s="1022" t="str">
        <f t="shared" si="2"/>
        <v>OxF Unit</v>
      </c>
      <c r="C143" s="1022" t="s">
        <v>60</v>
      </c>
      <c r="D143" s="822"/>
      <c r="E143" s="822"/>
      <c r="F143" s="822"/>
      <c r="G143" s="822"/>
      <c r="H143" s="822"/>
    </row>
    <row r="144" spans="1:8" ht="13.5" thickBot="1" x14ac:dyDescent="0.25">
      <c r="A144" s="820">
        <v>140</v>
      </c>
      <c r="B144" s="1022" t="str">
        <f t="shared" si="2"/>
        <v>Conversion factor (ConvF)</v>
      </c>
      <c r="C144" s="1022" t="s">
        <v>3015</v>
      </c>
      <c r="D144" s="822"/>
      <c r="E144" s="822"/>
      <c r="F144" s="822"/>
      <c r="G144" s="822"/>
      <c r="H144" s="822"/>
    </row>
    <row r="145" spans="1:8" ht="13.5" thickBot="1" x14ac:dyDescent="0.25">
      <c r="A145" s="820">
        <v>141</v>
      </c>
      <c r="B145" s="1022" t="str">
        <f t="shared" si="2"/>
        <v>ConvF Unit</v>
      </c>
      <c r="C145" s="1022" t="s">
        <v>61</v>
      </c>
      <c r="D145" s="822"/>
      <c r="E145" s="822"/>
      <c r="F145" s="822"/>
      <c r="G145" s="822"/>
      <c r="H145" s="822"/>
    </row>
    <row r="146" spans="1:8" ht="13.5" thickBot="1" x14ac:dyDescent="0.25">
      <c r="A146" s="820">
        <v>142</v>
      </c>
      <c r="B146" s="1022" t="str">
        <f t="shared" si="2"/>
        <v>Biomass content (BioC)</v>
      </c>
      <c r="C146" s="1022" t="s">
        <v>3016</v>
      </c>
      <c r="D146" s="822"/>
      <c r="E146" s="822"/>
      <c r="F146" s="822"/>
      <c r="G146" s="822"/>
      <c r="H146" s="822"/>
    </row>
    <row r="147" spans="1:8" ht="13.5" thickBot="1" x14ac:dyDescent="0.25">
      <c r="A147" s="820">
        <v>143</v>
      </c>
      <c r="B147" s="1022" t="str">
        <f t="shared" si="2"/>
        <v>BioC Unit</v>
      </c>
      <c r="C147" s="1022" t="s">
        <v>62</v>
      </c>
      <c r="D147" s="822"/>
      <c r="E147" s="822"/>
      <c r="F147" s="822"/>
      <c r="G147" s="822"/>
      <c r="H147" s="822"/>
    </row>
    <row r="148" spans="1:8" ht="13.5" thickBot="1" x14ac:dyDescent="0.25">
      <c r="A148" s="820">
        <v>144</v>
      </c>
      <c r="B148" s="1023" t="str">
        <f t="shared" si="2"/>
        <v>non-sust. BioC</v>
      </c>
      <c r="C148" s="1023" t="s">
        <v>63</v>
      </c>
      <c r="D148" s="822"/>
      <c r="E148" s="822"/>
      <c r="F148" s="822"/>
      <c r="G148" s="822"/>
      <c r="H148" s="822"/>
    </row>
    <row r="149" spans="1:8" ht="13.5" thickBot="1" x14ac:dyDescent="0.25">
      <c r="A149" s="820">
        <v>145</v>
      </c>
      <c r="B149" s="1023" t="str">
        <f t="shared" si="2"/>
        <v>non-sust. BioC Unit</v>
      </c>
      <c r="C149" s="1023" t="s">
        <v>64</v>
      </c>
      <c r="D149" s="822"/>
      <c r="E149" s="822"/>
      <c r="F149" s="822"/>
      <c r="G149" s="822"/>
      <c r="H149" s="822"/>
    </row>
    <row r="150" spans="1:8" ht="13.5" thickBot="1" x14ac:dyDescent="0.25">
      <c r="A150" s="820">
        <v>146</v>
      </c>
      <c r="B150" s="1022" t="str">
        <f t="shared" si="2"/>
        <v>hourly GHG conc. Average</v>
      </c>
      <c r="C150" s="1022" t="s">
        <v>65</v>
      </c>
      <c r="D150" s="822"/>
      <c r="E150" s="822"/>
      <c r="F150" s="822"/>
      <c r="G150" s="822"/>
      <c r="H150" s="822"/>
    </row>
    <row r="151" spans="1:8" ht="13.5" thickBot="1" x14ac:dyDescent="0.25">
      <c r="A151" s="820">
        <v>147</v>
      </c>
      <c r="B151" s="1022" t="str">
        <f t="shared" si="2"/>
        <v>hourly GHG conc. Unit</v>
      </c>
      <c r="C151" s="1022" t="s">
        <v>66</v>
      </c>
      <c r="D151" s="822"/>
      <c r="E151" s="822"/>
      <c r="F151" s="822"/>
      <c r="G151" s="822"/>
      <c r="H151" s="822"/>
    </row>
    <row r="152" spans="1:8" ht="13.5" thickBot="1" x14ac:dyDescent="0.25">
      <c r="A152" s="820">
        <v>148</v>
      </c>
      <c r="B152" s="1022" t="str">
        <f t="shared" si="2"/>
        <v>hours operating</v>
      </c>
      <c r="C152" s="1022" t="s">
        <v>67</v>
      </c>
      <c r="D152" s="822"/>
      <c r="E152" s="822"/>
      <c r="F152" s="822"/>
      <c r="G152" s="822"/>
      <c r="H152" s="822"/>
    </row>
    <row r="153" spans="1:8" ht="13.5" thickBot="1" x14ac:dyDescent="0.25">
      <c r="A153" s="820">
        <v>149</v>
      </c>
      <c r="B153" s="1022" t="str">
        <f t="shared" si="2"/>
        <v>hours operating Unit</v>
      </c>
      <c r="C153" s="1022" t="s">
        <v>68</v>
      </c>
      <c r="D153" s="822"/>
      <c r="E153" s="822"/>
      <c r="F153" s="822"/>
      <c r="G153" s="822"/>
      <c r="H153" s="822"/>
    </row>
    <row r="154" spans="1:8" ht="13.5" thickBot="1" x14ac:dyDescent="0.25">
      <c r="A154" s="820">
        <v>150</v>
      </c>
      <c r="B154" s="1022" t="str">
        <f t="shared" si="2"/>
        <v>Flue gas (average)</v>
      </c>
      <c r="C154" s="1022" t="s">
        <v>4127</v>
      </c>
      <c r="D154" s="822"/>
      <c r="E154" s="822"/>
      <c r="F154" s="822"/>
      <c r="G154" s="822"/>
      <c r="H154" s="822"/>
    </row>
    <row r="155" spans="1:8" ht="13.5" thickBot="1" x14ac:dyDescent="0.25">
      <c r="A155" s="820">
        <v>151</v>
      </c>
      <c r="B155" s="1022" t="str">
        <f t="shared" si="2"/>
        <v>Flue gas (average), Unit</v>
      </c>
      <c r="C155" s="1022" t="s">
        <v>4128</v>
      </c>
      <c r="D155" s="822"/>
      <c r="E155" s="822"/>
      <c r="F155" s="822"/>
      <c r="G155" s="822"/>
      <c r="H155" s="822"/>
    </row>
    <row r="156" spans="1:8" ht="13.5" thickBot="1" x14ac:dyDescent="0.25">
      <c r="A156" s="820">
        <v>152</v>
      </c>
      <c r="B156" s="1023" t="str">
        <f t="shared" si="2"/>
        <v>Flue gas (total)</v>
      </c>
      <c r="C156" s="1023" t="s">
        <v>69</v>
      </c>
      <c r="D156" s="822"/>
      <c r="E156" s="822"/>
      <c r="F156" s="822"/>
      <c r="G156" s="822"/>
      <c r="H156" s="822"/>
    </row>
    <row r="157" spans="1:8" ht="13.5" thickBot="1" x14ac:dyDescent="0.25">
      <c r="A157" s="820">
        <v>153</v>
      </c>
      <c r="B157" s="1023" t="str">
        <f t="shared" si="2"/>
        <v>Flue gas (total), Unit</v>
      </c>
      <c r="C157" s="1023" t="s">
        <v>70</v>
      </c>
      <c r="D157" s="822"/>
      <c r="E157" s="822"/>
      <c r="F157" s="822"/>
      <c r="G157" s="822"/>
      <c r="H157" s="822"/>
    </row>
    <row r="158" spans="1:8" ht="13.5" thickBot="1" x14ac:dyDescent="0.25">
      <c r="A158" s="820">
        <v>154</v>
      </c>
      <c r="B158" s="1022" t="str">
        <f t="shared" si="2"/>
        <v>Annual amount of GHG</v>
      </c>
      <c r="C158" s="1022" t="s">
        <v>71</v>
      </c>
      <c r="D158" s="822"/>
      <c r="E158" s="822"/>
      <c r="F158" s="822"/>
      <c r="G158" s="822"/>
      <c r="H158" s="822"/>
    </row>
    <row r="159" spans="1:8" ht="13.5" thickBot="1" x14ac:dyDescent="0.25">
      <c r="A159" s="820">
        <v>155</v>
      </c>
      <c r="B159" s="1022" t="str">
        <f t="shared" si="2"/>
        <v>Annual amount of GHG Unit</v>
      </c>
      <c r="C159" s="1022" t="s">
        <v>72</v>
      </c>
      <c r="D159" s="822"/>
      <c r="E159" s="822"/>
      <c r="F159" s="822"/>
      <c r="G159" s="822"/>
      <c r="H159" s="822"/>
    </row>
    <row r="160" spans="1:8" ht="13.5" thickBot="1" x14ac:dyDescent="0.25">
      <c r="A160" s="820">
        <v>156</v>
      </c>
      <c r="B160" s="1022" t="str">
        <f t="shared" si="2"/>
        <v>Global Warming Potential (GWP, tCO2e/t)</v>
      </c>
      <c r="C160" s="1022" t="s">
        <v>4129</v>
      </c>
      <c r="D160" s="822"/>
      <c r="E160" s="822"/>
      <c r="F160" s="822"/>
      <c r="G160" s="822"/>
      <c r="H160" s="822"/>
    </row>
    <row r="161" spans="1:8" ht="13.5" thickBot="1" x14ac:dyDescent="0.25">
      <c r="A161" s="820">
        <v>157</v>
      </c>
      <c r="B161" s="1022" t="str">
        <f t="shared" si="2"/>
        <v>A: Frequency</v>
      </c>
      <c r="C161" s="1022" t="s">
        <v>73</v>
      </c>
      <c r="D161" s="822"/>
      <c r="E161" s="822"/>
      <c r="F161" s="822"/>
      <c r="G161" s="822"/>
      <c r="H161" s="822"/>
    </row>
    <row r="162" spans="1:8" ht="13.5" thickBot="1" x14ac:dyDescent="0.25">
      <c r="A162" s="820">
        <v>158</v>
      </c>
      <c r="B162" s="1022" t="str">
        <f t="shared" si="2"/>
        <v>A: Duration</v>
      </c>
      <c r="C162" s="1022" t="s">
        <v>74</v>
      </c>
      <c r="D162" s="822"/>
      <c r="E162" s="822"/>
      <c r="F162" s="822"/>
      <c r="G162" s="822"/>
      <c r="H162" s="822"/>
    </row>
    <row r="163" spans="1:8" ht="13.5" thickBot="1" x14ac:dyDescent="0.25">
      <c r="A163" s="820">
        <v>159</v>
      </c>
      <c r="B163" s="1022" t="str">
        <f t="shared" si="2"/>
        <v>A: SEF(CF4)</v>
      </c>
      <c r="C163" s="1022" t="s">
        <v>75</v>
      </c>
      <c r="D163" s="822"/>
      <c r="E163" s="822"/>
      <c r="F163" s="822"/>
      <c r="G163" s="822"/>
      <c r="H163" s="822"/>
    </row>
    <row r="164" spans="1:8" ht="13.5" thickBot="1" x14ac:dyDescent="0.25">
      <c r="A164" s="820">
        <v>160</v>
      </c>
      <c r="B164" s="1022" t="str">
        <f t="shared" si="2"/>
        <v>B: AEO</v>
      </c>
      <c r="C164" s="1022" t="s">
        <v>76</v>
      </c>
      <c r="D164" s="822"/>
      <c r="E164" s="822"/>
      <c r="F164" s="822"/>
      <c r="G164" s="822"/>
      <c r="H164" s="822"/>
    </row>
    <row r="165" spans="1:8" ht="13.5" thickBot="1" x14ac:dyDescent="0.25">
      <c r="A165" s="820">
        <v>161</v>
      </c>
      <c r="B165" s="1022" t="str">
        <f t="shared" si="2"/>
        <v>B: CE</v>
      </c>
      <c r="C165" s="1022" t="s">
        <v>77</v>
      </c>
      <c r="D165" s="822"/>
      <c r="E165" s="822"/>
      <c r="F165" s="822"/>
      <c r="G165" s="822"/>
      <c r="H165" s="822"/>
    </row>
    <row r="166" spans="1:8" ht="13.5" thickBot="1" x14ac:dyDescent="0.25">
      <c r="A166" s="820">
        <v>162</v>
      </c>
      <c r="B166" s="1022" t="str">
        <f t="shared" si="2"/>
        <v>B: OVC</v>
      </c>
      <c r="C166" s="1022" t="s">
        <v>78</v>
      </c>
      <c r="D166" s="822"/>
      <c r="E166" s="822"/>
      <c r="F166" s="822"/>
      <c r="G166" s="822"/>
      <c r="H166" s="822"/>
    </row>
    <row r="167" spans="1:8" ht="13.5" thickBot="1" x14ac:dyDescent="0.25">
      <c r="A167" s="820">
        <v>163</v>
      </c>
      <c r="B167" s="1022" t="str">
        <f t="shared" si="2"/>
        <v>F(C2F6)</v>
      </c>
      <c r="C167" s="1022" t="s">
        <v>79</v>
      </c>
      <c r="D167" s="822"/>
      <c r="E167" s="822"/>
      <c r="F167" s="822"/>
      <c r="G167" s="822"/>
      <c r="H167" s="822"/>
    </row>
    <row r="168" spans="1:8" ht="13.5" thickBot="1" x14ac:dyDescent="0.25">
      <c r="A168" s="820">
        <v>164</v>
      </c>
      <c r="B168" s="1022" t="str">
        <f t="shared" si="2"/>
        <v>CF4 Emissions (t CF4)</v>
      </c>
      <c r="C168" s="1022" t="s">
        <v>80</v>
      </c>
      <c r="D168" s="822"/>
      <c r="E168" s="822"/>
      <c r="F168" s="822"/>
      <c r="G168" s="822"/>
      <c r="H168" s="822"/>
    </row>
    <row r="169" spans="1:8" ht="13.5" thickBot="1" x14ac:dyDescent="0.25">
      <c r="A169" s="820">
        <v>165</v>
      </c>
      <c r="B169" s="1022" t="str">
        <f t="shared" si="2"/>
        <v>C2F6 Emissions (t C2F6)</v>
      </c>
      <c r="C169" s="1022" t="s">
        <v>81</v>
      </c>
      <c r="D169" s="822"/>
      <c r="E169" s="822"/>
      <c r="F169" s="822"/>
      <c r="G169" s="822"/>
      <c r="H169" s="822"/>
    </row>
    <row r="170" spans="1:8" ht="13.5" thickBot="1" x14ac:dyDescent="0.25">
      <c r="A170" s="820">
        <v>166</v>
      </c>
      <c r="B170" s="1022" t="str">
        <f t="shared" si="2"/>
        <v>GWP (CF4) (tCO2e/t)</v>
      </c>
      <c r="C170" s="1022" t="s">
        <v>82</v>
      </c>
      <c r="D170" s="822"/>
      <c r="E170" s="822"/>
      <c r="F170" s="822"/>
      <c r="G170" s="822"/>
      <c r="H170" s="822"/>
    </row>
    <row r="171" spans="1:8" ht="13.5" thickBot="1" x14ac:dyDescent="0.25">
      <c r="A171" s="820">
        <v>167</v>
      </c>
      <c r="B171" s="1022" t="str">
        <f t="shared" si="2"/>
        <v>GWP (C2F6) (tCO2e/t)</v>
      </c>
      <c r="C171" s="1022" t="s">
        <v>83</v>
      </c>
      <c r="D171" s="822"/>
      <c r="E171" s="822"/>
      <c r="F171" s="822"/>
      <c r="G171" s="822"/>
      <c r="H171" s="822"/>
    </row>
    <row r="172" spans="1:8" ht="13.5" thickBot="1" x14ac:dyDescent="0.25">
      <c r="A172" s="820">
        <v>168</v>
      </c>
      <c r="B172" s="1022" t="str">
        <f t="shared" si="2"/>
        <v>CF4 Emissions (t CO2e)</v>
      </c>
      <c r="C172" s="1022" t="s">
        <v>84</v>
      </c>
      <c r="D172" s="822"/>
      <c r="E172" s="822"/>
      <c r="F172" s="822"/>
      <c r="G172" s="822"/>
      <c r="H172" s="822"/>
    </row>
    <row r="173" spans="1:8" ht="13.5" thickBot="1" x14ac:dyDescent="0.25">
      <c r="A173" s="820">
        <v>169</v>
      </c>
      <c r="B173" s="1022" t="str">
        <f t="shared" si="2"/>
        <v>C2F6 Emissions (t CO2e)</v>
      </c>
      <c r="C173" s="1022" t="s">
        <v>85</v>
      </c>
      <c r="D173" s="822"/>
      <c r="E173" s="822"/>
      <c r="F173" s="822"/>
      <c r="G173" s="822"/>
      <c r="H173" s="822"/>
    </row>
    <row r="174" spans="1:8" ht="13.5" thickBot="1" x14ac:dyDescent="0.25">
      <c r="A174" s="820">
        <v>170</v>
      </c>
      <c r="B174" s="1022" t="str">
        <f t="shared" si="2"/>
        <v>Collection efficiency, %</v>
      </c>
      <c r="C174" s="1022" t="s">
        <v>86</v>
      </c>
      <c r="D174" s="822"/>
      <c r="E174" s="822"/>
      <c r="F174" s="822"/>
      <c r="G174" s="822"/>
      <c r="H174" s="822"/>
    </row>
    <row r="175" spans="1:8" ht="13.5" thickBot="1" x14ac:dyDescent="0.25">
      <c r="A175" s="820">
        <v>171</v>
      </c>
      <c r="B175" s="1022" t="str">
        <f t="shared" si="2"/>
        <v>CO2e fossil (t)</v>
      </c>
      <c r="C175" s="1022" t="s">
        <v>87</v>
      </c>
      <c r="D175" s="822"/>
      <c r="E175" s="822"/>
      <c r="F175" s="822"/>
      <c r="G175" s="822"/>
      <c r="H175" s="822"/>
    </row>
    <row r="176" spans="1:8" ht="13.5" thickBot="1" x14ac:dyDescent="0.25">
      <c r="A176" s="820">
        <v>172</v>
      </c>
      <c r="B176" s="1022" t="str">
        <f t="shared" si="2"/>
        <v>CO2e bio (t)</v>
      </c>
      <c r="C176" s="1022" t="s">
        <v>88</v>
      </c>
      <c r="D176" s="822"/>
      <c r="E176" s="822"/>
      <c r="F176" s="822"/>
      <c r="G176" s="822"/>
      <c r="H176" s="822"/>
    </row>
    <row r="177" spans="1:8" ht="13.5" thickBot="1" x14ac:dyDescent="0.25">
      <c r="A177" s="820">
        <v>173</v>
      </c>
      <c r="B177" s="1023" t="str">
        <f t="shared" si="2"/>
        <v>CO2e non-sust. bio (t)</v>
      </c>
      <c r="C177" s="1023" t="s">
        <v>89</v>
      </c>
      <c r="D177" s="822"/>
      <c r="E177" s="822"/>
      <c r="F177" s="822"/>
      <c r="G177" s="822"/>
      <c r="H177" s="822"/>
    </row>
    <row r="178" spans="1:8" ht="13.5" thickBot="1" x14ac:dyDescent="0.25">
      <c r="A178" s="820">
        <v>174</v>
      </c>
      <c r="B178" s="1022" t="str">
        <f t="shared" si="2"/>
        <v>Energy content (fossil), TJ</v>
      </c>
      <c r="C178" s="1022" t="s">
        <v>90</v>
      </c>
      <c r="D178" s="822"/>
      <c r="E178" s="822"/>
      <c r="F178" s="822"/>
      <c r="G178" s="822"/>
      <c r="H178" s="822"/>
    </row>
    <row r="179" spans="1:8" ht="13.5" thickBot="1" x14ac:dyDescent="0.25">
      <c r="A179" s="820">
        <v>175</v>
      </c>
      <c r="B179" s="1024" t="str">
        <f t="shared" si="2"/>
        <v>Energy content (bio), TJ</v>
      </c>
      <c r="C179" s="1024" t="s">
        <v>91</v>
      </c>
      <c r="D179" s="822"/>
      <c r="E179" s="822"/>
      <c r="F179" s="822"/>
      <c r="G179" s="822"/>
      <c r="H179" s="822"/>
    </row>
    <row r="180" spans="1:8" ht="13.5" thickBot="1" x14ac:dyDescent="0.25">
      <c r="A180" s="820">
        <v>176</v>
      </c>
      <c r="B180" s="1025" t="str">
        <f t="shared" si="2"/>
        <v>Ex.1</v>
      </c>
      <c r="C180" s="1025" t="s">
        <v>92</v>
      </c>
      <c r="D180" s="822"/>
      <c r="E180" s="822"/>
      <c r="F180" s="822"/>
      <c r="G180" s="822"/>
      <c r="H180" s="822"/>
    </row>
    <row r="181" spans="1:8" ht="13.5" thickBot="1" x14ac:dyDescent="0.25">
      <c r="A181" s="820">
        <v>177</v>
      </c>
      <c r="B181" s="1026" t="str">
        <f t="shared" si="2"/>
        <v>Combustion</v>
      </c>
      <c r="C181" s="1026" t="s">
        <v>93</v>
      </c>
      <c r="D181" s="822"/>
      <c r="E181" s="822"/>
      <c r="F181" s="822"/>
      <c r="G181" s="822"/>
      <c r="H181" s="822"/>
    </row>
    <row r="182" spans="1:8" ht="13.5" thickBot="1" x14ac:dyDescent="0.25">
      <c r="A182" s="820">
        <v>178</v>
      </c>
      <c r="B182" s="1026" t="str">
        <f t="shared" si="2"/>
        <v>Heavy fuel oil</v>
      </c>
      <c r="C182" s="1026" t="s">
        <v>94</v>
      </c>
      <c r="D182" s="822"/>
      <c r="E182" s="822"/>
      <c r="F182" s="822"/>
      <c r="G182" s="822"/>
      <c r="H182" s="822"/>
    </row>
    <row r="183" spans="1:8" ht="13.5" thickBot="1" x14ac:dyDescent="0.25">
      <c r="A183" s="820">
        <v>179</v>
      </c>
      <c r="B183" s="1026" t="str">
        <f t="shared" si="2"/>
        <v>GJ/t</v>
      </c>
      <c r="C183" s="1026" t="s">
        <v>96</v>
      </c>
      <c r="D183" s="822"/>
      <c r="E183" s="822"/>
      <c r="F183" s="822"/>
      <c r="G183" s="822"/>
      <c r="H183" s="822"/>
    </row>
    <row r="184" spans="1:8" ht="12.75" x14ac:dyDescent="0.2">
      <c r="A184" s="820">
        <v>180</v>
      </c>
      <c r="B184" s="1026" t="str">
        <f t="shared" si="2"/>
        <v>tCO2/TJ</v>
      </c>
      <c r="C184" s="1026" t="s">
        <v>97</v>
      </c>
      <c r="D184" s="822"/>
      <c r="E184" s="822"/>
      <c r="F184" s="822"/>
      <c r="G184" s="822"/>
      <c r="H184" s="822"/>
    </row>
    <row r="185" spans="1:8" ht="12.75" x14ac:dyDescent="0.2">
      <c r="A185" s="820">
        <v>181</v>
      </c>
      <c r="B185" s="1027" t="str">
        <f t="shared" si="2"/>
        <v>Ex.2</v>
      </c>
      <c r="C185" s="1027" t="s">
        <v>100</v>
      </c>
      <c r="D185" s="822"/>
      <c r="E185" s="822"/>
      <c r="F185" s="822"/>
      <c r="G185" s="822"/>
      <c r="H185" s="822"/>
    </row>
    <row r="186" spans="1:8" ht="12.75" x14ac:dyDescent="0.2">
      <c r="A186" s="820">
        <v>182</v>
      </c>
      <c r="B186" s="1028" t="str">
        <f t="shared" si="2"/>
        <v>Process Emissions</v>
      </c>
      <c r="C186" s="1028" t="s">
        <v>101</v>
      </c>
      <c r="D186" s="822"/>
      <c r="E186" s="822"/>
      <c r="F186" s="822"/>
      <c r="G186" s="822"/>
      <c r="H186" s="822"/>
    </row>
    <row r="187" spans="1:8" ht="12.75" x14ac:dyDescent="0.2">
      <c r="A187" s="820">
        <v>183</v>
      </c>
      <c r="B187" s="1028" t="str">
        <f t="shared" si="2"/>
        <v>Raw meal for clinker</v>
      </c>
      <c r="C187" s="1028" t="s">
        <v>115</v>
      </c>
      <c r="D187" s="822"/>
      <c r="E187" s="822"/>
      <c r="F187" s="822"/>
      <c r="G187" s="822"/>
      <c r="H187" s="822"/>
    </row>
    <row r="188" spans="1:8" ht="12.75" x14ac:dyDescent="0.2">
      <c r="A188" s="820">
        <v>184</v>
      </c>
      <c r="B188" s="1028" t="str">
        <f t="shared" si="2"/>
        <v>tCO2/t</v>
      </c>
      <c r="C188" s="1028" t="s">
        <v>102</v>
      </c>
      <c r="D188" s="822"/>
      <c r="E188" s="822"/>
      <c r="F188" s="822"/>
      <c r="G188" s="822"/>
      <c r="H188" s="822"/>
    </row>
    <row r="189" spans="1:8" ht="12.75" x14ac:dyDescent="0.2">
      <c r="A189" s="820">
        <v>185</v>
      </c>
      <c r="B189" s="1029" t="str">
        <f t="shared" si="2"/>
        <v>Ex.3</v>
      </c>
      <c r="C189" s="1029" t="s">
        <v>103</v>
      </c>
      <c r="D189" s="822"/>
      <c r="E189" s="822"/>
      <c r="F189" s="822"/>
      <c r="G189" s="822"/>
      <c r="H189" s="822"/>
    </row>
    <row r="190" spans="1:8" ht="12.75" x14ac:dyDescent="0.2">
      <c r="A190" s="820">
        <v>186</v>
      </c>
      <c r="B190" s="1030" t="str">
        <f t="shared" si="2"/>
        <v>Mass balance</v>
      </c>
      <c r="C190" s="1030" t="s">
        <v>104</v>
      </c>
      <c r="D190" s="822"/>
      <c r="E190" s="822"/>
      <c r="F190" s="822"/>
      <c r="G190" s="822"/>
      <c r="H190" s="822"/>
    </row>
    <row r="191" spans="1:8" ht="12.75" x14ac:dyDescent="0.2">
      <c r="A191" s="820">
        <v>187</v>
      </c>
      <c r="B191" s="1030" t="str">
        <f t="shared" si="2"/>
        <v>Steel</v>
      </c>
      <c r="C191" s="1030" t="s">
        <v>105</v>
      </c>
      <c r="D191" s="822"/>
      <c r="E191" s="822"/>
      <c r="F191" s="822"/>
      <c r="G191" s="822"/>
      <c r="H191" s="822"/>
    </row>
    <row r="192" spans="1:8" ht="12.75" x14ac:dyDescent="0.2">
      <c r="A192" s="820">
        <v>188</v>
      </c>
      <c r="B192" s="1030" t="str">
        <f t="shared" si="2"/>
        <v>tC/t</v>
      </c>
      <c r="C192" s="1030" t="s">
        <v>106</v>
      </c>
      <c r="D192" s="822"/>
      <c r="E192" s="822"/>
      <c r="F192" s="822"/>
      <c r="G192" s="822"/>
      <c r="H192" s="822"/>
    </row>
    <row r="193" spans="1:8" ht="12.75" x14ac:dyDescent="0.25">
      <c r="A193" s="820">
        <v>189</v>
      </c>
      <c r="B193" s="1031" t="str">
        <f t="shared" si="2"/>
        <v>Process</v>
      </c>
      <c r="C193" s="1031" t="s">
        <v>341</v>
      </c>
      <c r="D193" s="822"/>
      <c r="E193" s="822"/>
      <c r="F193" s="822"/>
      <c r="G193" s="822"/>
      <c r="H193" s="822"/>
    </row>
    <row r="194" spans="1:8" ht="12.75" x14ac:dyDescent="0.25">
      <c r="A194" s="820">
        <v>190</v>
      </c>
      <c r="B194" s="1031" t="str">
        <f t="shared" si="2"/>
        <v>Mass Balance</v>
      </c>
      <c r="C194" s="1031" t="s">
        <v>340</v>
      </c>
      <c r="D194" s="822"/>
      <c r="E194" s="822"/>
      <c r="F194" s="822"/>
      <c r="G194" s="822"/>
      <c r="H194" s="822"/>
    </row>
    <row r="195" spans="1:8" ht="12.75" x14ac:dyDescent="0.25">
      <c r="A195" s="820">
        <v>191</v>
      </c>
      <c r="B195" s="1031" t="str">
        <f t="shared" si="2"/>
        <v>CC</v>
      </c>
      <c r="C195" s="1031" t="s">
        <v>343</v>
      </c>
      <c r="D195" s="822"/>
      <c r="E195" s="822"/>
      <c r="F195" s="822"/>
      <c r="G195" s="822"/>
      <c r="H195" s="822"/>
    </row>
    <row r="196" spans="1:8" ht="12.75" x14ac:dyDescent="0.25">
      <c r="A196" s="820">
        <v>192</v>
      </c>
      <c r="B196" s="1031" t="str">
        <f t="shared" si="2"/>
        <v>OxF</v>
      </c>
      <c r="C196" s="1031" t="s">
        <v>344</v>
      </c>
      <c r="D196" s="822"/>
      <c r="E196" s="822"/>
      <c r="F196" s="822"/>
      <c r="G196" s="822"/>
      <c r="H196" s="822"/>
    </row>
    <row r="197" spans="1:8" ht="12.75" x14ac:dyDescent="0.25">
      <c r="A197" s="820">
        <v>193</v>
      </c>
      <c r="B197" s="1031" t="str">
        <f t="shared" si="2"/>
        <v>ConvF</v>
      </c>
      <c r="C197" s="1031" t="s">
        <v>345</v>
      </c>
      <c r="D197" s="822"/>
      <c r="E197" s="822"/>
      <c r="F197" s="822"/>
      <c r="G197" s="822"/>
      <c r="H197" s="822"/>
    </row>
    <row r="198" spans="1:8" ht="16.5" thickBot="1" x14ac:dyDescent="0.3">
      <c r="A198" s="820">
        <v>194</v>
      </c>
      <c r="B198" s="15" t="str">
        <f t="shared" ref="B198:B261" si="3">IFERROR(INDEX(C198:M198,$A$3-2),$C198)</f>
        <v>PFC Emissions</v>
      </c>
      <c r="C198" s="15" t="s">
        <v>4130</v>
      </c>
      <c r="D198" s="822"/>
      <c r="E198" s="822"/>
      <c r="F198" s="822"/>
      <c r="G198" s="822"/>
      <c r="H198" s="822"/>
    </row>
    <row r="199" spans="1:8" ht="13.5" thickBot="1" x14ac:dyDescent="0.25">
      <c r="A199" s="820">
        <v>195</v>
      </c>
      <c r="B199" s="1022" t="str">
        <f t="shared" si="3"/>
        <v>Type of anode</v>
      </c>
      <c r="C199" s="1022" t="s">
        <v>4131</v>
      </c>
      <c r="D199" s="822"/>
      <c r="E199" s="822"/>
      <c r="F199" s="822"/>
      <c r="G199" s="822"/>
      <c r="H199" s="822"/>
    </row>
    <row r="200" spans="1:8" ht="12.75" x14ac:dyDescent="0.2">
      <c r="A200" s="820">
        <v>196</v>
      </c>
      <c r="B200" s="1032" t="str">
        <f t="shared" si="3"/>
        <v>Method A</v>
      </c>
      <c r="C200" s="1032" t="s">
        <v>346</v>
      </c>
      <c r="D200" s="822"/>
      <c r="E200" s="822"/>
      <c r="F200" s="822"/>
      <c r="G200" s="822"/>
      <c r="H200" s="822"/>
    </row>
    <row r="201" spans="1:8" ht="12.75" x14ac:dyDescent="0.2">
      <c r="A201" s="820">
        <v>197</v>
      </c>
      <c r="B201" s="1032" t="str">
        <f t="shared" si="3"/>
        <v>Method B</v>
      </c>
      <c r="C201" s="1032" t="s">
        <v>347</v>
      </c>
      <c r="D201" s="822"/>
      <c r="E201" s="822"/>
      <c r="F201" s="822"/>
      <c r="G201" s="822"/>
      <c r="H201" s="822"/>
    </row>
    <row r="202" spans="1:8" ht="12.75" x14ac:dyDescent="0.2">
      <c r="A202" s="820">
        <v>198</v>
      </c>
      <c r="B202" s="1033" t="str">
        <f t="shared" si="3"/>
        <v>Ex.</v>
      </c>
      <c r="C202" s="1033" t="s">
        <v>107</v>
      </c>
      <c r="D202" s="822"/>
      <c r="E202" s="822"/>
      <c r="F202" s="822"/>
      <c r="G202" s="822"/>
      <c r="H202" s="822"/>
    </row>
    <row r="203" spans="1:8" ht="12.75" x14ac:dyDescent="0.2">
      <c r="A203" s="820">
        <v>199</v>
      </c>
      <c r="B203" s="1034" t="str">
        <f t="shared" si="3"/>
        <v>Overvoltage method</v>
      </c>
      <c r="C203" s="1034" t="s">
        <v>352</v>
      </c>
      <c r="D203" s="822"/>
      <c r="E203" s="822"/>
      <c r="F203" s="822"/>
      <c r="G203" s="822"/>
      <c r="H203" s="822"/>
    </row>
    <row r="204" spans="1:8" ht="12.75" x14ac:dyDescent="0.2">
      <c r="A204" s="820">
        <v>200</v>
      </c>
      <c r="B204" s="1034" t="str">
        <f t="shared" si="3"/>
        <v>Centre Worked Pre-Bake (CWPB)</v>
      </c>
      <c r="C204" s="1034" t="s">
        <v>2847</v>
      </c>
      <c r="D204" s="822"/>
      <c r="E204" s="822"/>
      <c r="F204" s="822"/>
      <c r="G204" s="822"/>
      <c r="H204" s="822"/>
    </row>
    <row r="205" spans="1:8" ht="12.75" x14ac:dyDescent="0.25">
      <c r="A205" s="820">
        <v>201</v>
      </c>
      <c r="B205" s="1031" t="str">
        <f t="shared" si="3"/>
        <v>CF4</v>
      </c>
      <c r="C205" s="1031" t="s">
        <v>348</v>
      </c>
      <c r="D205" s="822"/>
      <c r="E205" s="822"/>
      <c r="F205" s="822"/>
      <c r="G205" s="822"/>
      <c r="H205" s="822"/>
    </row>
    <row r="206" spans="1:8" ht="12.75" x14ac:dyDescent="0.25">
      <c r="A206" s="820">
        <v>202</v>
      </c>
      <c r="B206" s="1031" t="str">
        <f t="shared" si="3"/>
        <v>C2F6</v>
      </c>
      <c r="C206" s="1031" t="s">
        <v>349</v>
      </c>
      <c r="D206" s="822"/>
      <c r="E206" s="822"/>
      <c r="F206" s="822"/>
      <c r="G206" s="822"/>
      <c r="H206" s="822"/>
    </row>
    <row r="207" spans="1:8" ht="15.75" x14ac:dyDescent="0.25">
      <c r="A207" s="820">
        <v>203</v>
      </c>
      <c r="B207" s="15" t="str">
        <f t="shared" si="3"/>
        <v>Emissions Sources (Measurement-Based Approaches)</v>
      </c>
      <c r="C207" s="15" t="s">
        <v>4132</v>
      </c>
      <c r="D207" s="822"/>
      <c r="E207" s="822"/>
      <c r="F207" s="822"/>
      <c r="G207" s="822"/>
      <c r="H207" s="822"/>
    </row>
    <row r="208" spans="1:8" ht="13.5" thickBot="1" x14ac:dyDescent="0.3">
      <c r="A208" s="820">
        <v>204</v>
      </c>
      <c r="B208" s="157" t="str">
        <f t="shared" si="3"/>
        <v>Emission sources</v>
      </c>
      <c r="C208" s="157" t="s">
        <v>2813</v>
      </c>
      <c r="D208" s="822"/>
      <c r="E208" s="822"/>
      <c r="F208" s="822"/>
      <c r="G208" s="822"/>
      <c r="H208" s="822"/>
    </row>
    <row r="209" spans="1:8" ht="13.5" thickBot="1" x14ac:dyDescent="0.25">
      <c r="A209" s="820">
        <v>205</v>
      </c>
      <c r="B209" s="1022" t="str">
        <f t="shared" si="3"/>
        <v>Type of GHG</v>
      </c>
      <c r="C209" s="1022" t="s">
        <v>181</v>
      </c>
      <c r="D209" s="822"/>
      <c r="E209" s="822"/>
      <c r="F209" s="822"/>
      <c r="G209" s="822"/>
      <c r="H209" s="822"/>
    </row>
    <row r="210" spans="1:8" ht="13.5" thickBot="1" x14ac:dyDescent="0.25">
      <c r="A210" s="820">
        <v>206</v>
      </c>
      <c r="B210" s="1022" t="str">
        <f t="shared" si="3"/>
        <v>Biomass fraction</v>
      </c>
      <c r="C210" s="1022" t="s">
        <v>2857</v>
      </c>
      <c r="D210" s="822"/>
      <c r="E210" s="822"/>
      <c r="F210" s="822"/>
      <c r="G210" s="822"/>
      <c r="H210" s="822"/>
    </row>
    <row r="211" spans="1:8" ht="13.5" thickBot="1" x14ac:dyDescent="0.25">
      <c r="A211" s="820">
        <v>207</v>
      </c>
      <c r="B211" s="1034" t="str">
        <f t="shared" si="3"/>
        <v>CO2 transfer</v>
      </c>
      <c r="C211" s="1034" t="s">
        <v>111</v>
      </c>
      <c r="D211" s="822"/>
      <c r="E211" s="822"/>
      <c r="F211" s="822"/>
      <c r="G211" s="822"/>
      <c r="H211" s="822"/>
    </row>
    <row r="212" spans="1:8" ht="12.75" x14ac:dyDescent="0.25">
      <c r="A212" s="820">
        <v>208</v>
      </c>
      <c r="B212" s="1004" t="str">
        <f t="shared" si="3"/>
        <v>Energy &amp; Emissions</v>
      </c>
      <c r="C212" s="1004" t="s">
        <v>277</v>
      </c>
      <c r="D212" s="822"/>
      <c r="E212" s="822"/>
      <c r="F212" s="822"/>
      <c r="G212" s="822"/>
      <c r="H212" s="822"/>
    </row>
    <row r="213" spans="1:8" ht="18" x14ac:dyDescent="0.25">
      <c r="A213" s="820">
        <v>209</v>
      </c>
      <c r="B213" s="312" t="str">
        <f t="shared" si="3"/>
        <v>Sheet "C_Emissions&amp;Energy" - Installation-level GHG emissions and energy consumption</v>
      </c>
      <c r="C213" s="312" t="s">
        <v>435</v>
      </c>
      <c r="D213" s="822"/>
      <c r="E213" s="822"/>
      <c r="F213" s="822"/>
      <c r="G213" s="822"/>
      <c r="H213" s="822"/>
    </row>
    <row r="214" spans="1:8" ht="12.75" x14ac:dyDescent="0.25">
      <c r="A214" s="820">
        <v>210</v>
      </c>
      <c r="B214" s="157" t="str">
        <f t="shared" si="3"/>
        <v>Values</v>
      </c>
      <c r="C214" s="157" t="s">
        <v>153</v>
      </c>
      <c r="D214" s="822"/>
      <c r="E214" s="822"/>
      <c r="F214" s="822"/>
      <c r="G214" s="822"/>
      <c r="H214" s="822"/>
    </row>
    <row r="215" spans="1:8" ht="15.75" x14ac:dyDescent="0.25">
      <c r="A215" s="820">
        <v>211</v>
      </c>
      <c r="B215" s="311" t="str">
        <f t="shared" si="3"/>
        <v>Fuel balance</v>
      </c>
      <c r="C215" s="311" t="s">
        <v>267</v>
      </c>
      <c r="D215" s="822"/>
      <c r="E215" s="822"/>
      <c r="F215" s="822"/>
      <c r="G215" s="822"/>
      <c r="H215" s="822"/>
    </row>
    <row r="216" spans="1:8" x14ac:dyDescent="0.25">
      <c r="A216" s="820">
        <v>212</v>
      </c>
      <c r="B216" s="1035" t="str">
        <f t="shared" si="3"/>
        <v>Please enter in the table below the amount of energy consumed for each use type:</v>
      </c>
      <c r="C216" s="1035" t="s">
        <v>368</v>
      </c>
      <c r="D216" s="822"/>
      <c r="E216" s="822"/>
      <c r="F216" s="822"/>
      <c r="G216" s="822"/>
      <c r="H216" s="822"/>
    </row>
    <row r="217" spans="1:8" x14ac:dyDescent="0.25">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x14ac:dyDescent="0.25">
      <c r="A218" s="820">
        <v>214</v>
      </c>
      <c r="B218" s="1035" t="str">
        <f t="shared" si="3"/>
        <v>Fuel input for electricity production</v>
      </c>
      <c r="C218" s="1035" t="s">
        <v>367</v>
      </c>
      <c r="D218" s="822"/>
      <c r="E218" s="822"/>
      <c r="F218" s="822"/>
      <c r="G218" s="822"/>
      <c r="H218" s="822"/>
    </row>
    <row r="219" spans="1:8" x14ac:dyDescent="0.25">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2.75" x14ac:dyDescent="0.2">
      <c r="A220" s="820">
        <v>216</v>
      </c>
      <c r="B220" s="1018" t="str">
        <f t="shared" si="3"/>
        <v>Fuel balance:</v>
      </c>
      <c r="C220" s="1018" t="s">
        <v>275</v>
      </c>
      <c r="D220" s="822"/>
      <c r="E220" s="822"/>
      <c r="F220" s="822"/>
      <c r="G220" s="822"/>
      <c r="H220" s="822"/>
    </row>
    <row r="221" spans="1:8" ht="12.75" x14ac:dyDescent="0.2">
      <c r="A221" s="820">
        <v>217</v>
      </c>
      <c r="B221" s="1036" t="str">
        <f t="shared" si="3"/>
        <v>Unit</v>
      </c>
      <c r="C221" s="1036" t="s">
        <v>6</v>
      </c>
      <c r="D221" s="822"/>
      <c r="E221" s="822"/>
      <c r="F221" s="822"/>
      <c r="G221" s="822"/>
      <c r="H221" s="822"/>
    </row>
    <row r="222" spans="1:8" ht="12.75" x14ac:dyDescent="0.2">
      <c r="A222" s="820">
        <v>218</v>
      </c>
      <c r="B222" s="1036" t="str">
        <f t="shared" si="3"/>
        <v>Total fuel input</v>
      </c>
      <c r="C222" s="1036" t="s">
        <v>268</v>
      </c>
      <c r="D222" s="822"/>
      <c r="E222" s="822"/>
      <c r="F222" s="822"/>
      <c r="G222" s="822"/>
      <c r="H222" s="822"/>
    </row>
    <row r="223" spans="1:8" ht="12.75" x14ac:dyDescent="0.2">
      <c r="A223" s="820">
        <v>219</v>
      </c>
      <c r="B223" s="1036" t="str">
        <f t="shared" si="3"/>
        <v>Direct fuel for CBAM goods</v>
      </c>
      <c r="C223" s="1036" t="s">
        <v>270</v>
      </c>
      <c r="D223" s="822"/>
      <c r="E223" s="822"/>
      <c r="F223" s="822"/>
      <c r="G223" s="822"/>
      <c r="H223" s="822"/>
    </row>
    <row r="224" spans="1:8" ht="12.75" x14ac:dyDescent="0.2">
      <c r="A224" s="820">
        <v>220</v>
      </c>
      <c r="B224" s="1036" t="str">
        <f t="shared" si="3"/>
        <v>Fuel for electricity</v>
      </c>
      <c r="C224" s="1036" t="s">
        <v>269</v>
      </c>
      <c r="D224" s="822"/>
      <c r="E224" s="822"/>
      <c r="F224" s="822"/>
      <c r="G224" s="822"/>
      <c r="H224" s="822"/>
    </row>
    <row r="225" spans="1:8" ht="12.75" x14ac:dyDescent="0.2">
      <c r="A225" s="820">
        <v>221</v>
      </c>
      <c r="B225" s="1036" t="str">
        <f t="shared" si="3"/>
        <v>Direct fuel for non-CBAM goods</v>
      </c>
      <c r="C225" s="1036" t="s">
        <v>271</v>
      </c>
      <c r="D225" s="822"/>
      <c r="E225" s="822"/>
      <c r="F225" s="822"/>
      <c r="G225" s="822"/>
      <c r="H225" s="822"/>
    </row>
    <row r="226" spans="1:8" ht="12.75" x14ac:dyDescent="0.2">
      <c r="A226" s="820">
        <v>222</v>
      </c>
      <c r="B226" s="1036" t="str">
        <f t="shared" si="3"/>
        <v>Rest</v>
      </c>
      <c r="C226" s="1036" t="s">
        <v>272</v>
      </c>
      <c r="D226" s="822"/>
      <c r="E226" s="822"/>
      <c r="F226" s="822"/>
      <c r="G226" s="822"/>
      <c r="H226" s="822"/>
    </row>
    <row r="227" spans="1:8" ht="12.75" x14ac:dyDescent="0.25">
      <c r="A227" s="820">
        <v>223</v>
      </c>
      <c r="B227" s="617" t="str">
        <f t="shared" si="3"/>
        <v>from sheet "B_EmInst"</v>
      </c>
      <c r="C227" s="617" t="s">
        <v>353</v>
      </c>
      <c r="D227" s="822"/>
      <c r="E227" s="822"/>
      <c r="F227" s="822"/>
      <c r="G227" s="822"/>
      <c r="H227" s="822"/>
    </row>
    <row r="228" spans="1:8" ht="12.75" x14ac:dyDescent="0.25">
      <c r="A228" s="820">
        <v>224</v>
      </c>
      <c r="B228" s="618" t="str">
        <f t="shared" si="3"/>
        <v>manual entries</v>
      </c>
      <c r="C228" s="618" t="s">
        <v>402</v>
      </c>
      <c r="D228" s="822"/>
      <c r="E228" s="822"/>
      <c r="F228" s="822"/>
      <c r="G228" s="822"/>
      <c r="H228" s="822"/>
    </row>
    <row r="229" spans="1:8" ht="12.75" x14ac:dyDescent="0.25">
      <c r="A229" s="820">
        <v>225</v>
      </c>
      <c r="B229" s="1037" t="str">
        <f t="shared" si="3"/>
        <v>Results:</v>
      </c>
      <c r="C229" s="1037" t="s">
        <v>191</v>
      </c>
      <c r="D229" s="822"/>
      <c r="E229" s="822"/>
      <c r="F229" s="822"/>
      <c r="G229" s="822"/>
      <c r="H229" s="822"/>
    </row>
    <row r="230" spans="1:8" ht="15.75" x14ac:dyDescent="0.25">
      <c r="A230" s="820">
        <v>226</v>
      </c>
      <c r="B230" s="311" t="str">
        <f t="shared" si="3"/>
        <v>Greenhouse gas emissions balance &amp; information on data quality</v>
      </c>
      <c r="C230" s="311" t="s">
        <v>3051</v>
      </c>
      <c r="D230" s="822"/>
      <c r="E230" s="822"/>
      <c r="F230" s="822"/>
      <c r="G230" s="822"/>
      <c r="H230" s="822"/>
    </row>
    <row r="231" spans="1:8" x14ac:dyDescent="0.25">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2.75" x14ac:dyDescent="0.2">
      <c r="A232" s="820">
        <v>228</v>
      </c>
      <c r="B232" s="1018" t="str">
        <f t="shared" si="3"/>
        <v>Installation level data:</v>
      </c>
      <c r="C232" s="1018" t="s">
        <v>185</v>
      </c>
      <c r="D232" s="822"/>
      <c r="E232" s="822"/>
      <c r="F232" s="822"/>
      <c r="G232" s="822"/>
      <c r="H232" s="822"/>
    </row>
    <row r="233" spans="1:8" ht="12.75" x14ac:dyDescent="0.2">
      <c r="A233" s="820">
        <v>229</v>
      </c>
      <c r="B233" s="1036" t="str">
        <f t="shared" si="3"/>
        <v>Total CO2 emissions</v>
      </c>
      <c r="C233" s="1036" t="s">
        <v>186</v>
      </c>
      <c r="D233" s="822"/>
      <c r="E233" s="822"/>
      <c r="F233" s="822"/>
      <c r="G233" s="822"/>
      <c r="H233" s="822"/>
    </row>
    <row r="234" spans="1:8" ht="12.75" x14ac:dyDescent="0.2">
      <c r="A234" s="820">
        <v>230</v>
      </c>
      <c r="B234" s="1036" t="str">
        <f t="shared" si="3"/>
        <v>Biomass emissions</v>
      </c>
      <c r="C234" s="1036" t="s">
        <v>187</v>
      </c>
      <c r="D234" s="822"/>
      <c r="E234" s="822"/>
      <c r="F234" s="822"/>
      <c r="G234" s="822"/>
      <c r="H234" s="822"/>
    </row>
    <row r="235" spans="1:8" ht="12.75" x14ac:dyDescent="0.2">
      <c r="A235" s="820">
        <v>231</v>
      </c>
      <c r="B235" s="1036" t="str">
        <f t="shared" si="3"/>
        <v>Total N2O emissions</v>
      </c>
      <c r="C235" s="1036" t="s">
        <v>188</v>
      </c>
      <c r="D235" s="822"/>
      <c r="E235" s="822"/>
      <c r="F235" s="822"/>
      <c r="G235" s="822"/>
      <c r="H235" s="822"/>
    </row>
    <row r="236" spans="1:8" ht="12.75" x14ac:dyDescent="0.2">
      <c r="A236" s="820">
        <v>232</v>
      </c>
      <c r="B236" s="1036" t="str">
        <f t="shared" si="3"/>
        <v>Total PFC emissions</v>
      </c>
      <c r="C236" s="1036" t="s">
        <v>189</v>
      </c>
      <c r="D236" s="822"/>
      <c r="E236" s="822"/>
      <c r="F236" s="822"/>
      <c r="G236" s="822"/>
      <c r="H236" s="822"/>
    </row>
    <row r="237" spans="1:8" ht="12.75" x14ac:dyDescent="0.2">
      <c r="A237" s="820">
        <v>233</v>
      </c>
      <c r="B237" s="1036" t="str">
        <f t="shared" si="3"/>
        <v>Total direct emissions</v>
      </c>
      <c r="C237" s="1036" t="s">
        <v>190</v>
      </c>
      <c r="D237" s="822"/>
      <c r="E237" s="822"/>
      <c r="F237" s="822"/>
      <c r="G237" s="822"/>
      <c r="H237" s="822"/>
    </row>
    <row r="238" spans="1:8" ht="12.75" x14ac:dyDescent="0.2">
      <c r="A238" s="820">
        <v>234</v>
      </c>
      <c r="B238" s="1036" t="str">
        <f t="shared" si="3"/>
        <v>Total indirect emissions</v>
      </c>
      <c r="C238" s="1036" t="s">
        <v>2982</v>
      </c>
      <c r="D238" s="822"/>
      <c r="E238" s="822"/>
      <c r="F238" s="822"/>
      <c r="G238" s="822"/>
      <c r="H238" s="822"/>
    </row>
    <row r="239" spans="1:8" ht="13.5" thickBot="1" x14ac:dyDescent="0.25">
      <c r="A239" s="820">
        <v>235</v>
      </c>
      <c r="B239" s="1036" t="str">
        <f t="shared" si="3"/>
        <v>Total emissions</v>
      </c>
      <c r="C239" s="1036" t="s">
        <v>619</v>
      </c>
      <c r="D239" s="822"/>
      <c r="E239" s="822"/>
      <c r="F239" s="822"/>
      <c r="G239" s="822"/>
      <c r="H239" s="822"/>
    </row>
    <row r="240" spans="1:8" ht="12.75" x14ac:dyDescent="0.25">
      <c r="A240" s="820">
        <v>236</v>
      </c>
      <c r="B240" s="1004" t="str">
        <f t="shared" si="3"/>
        <v>Production processes</v>
      </c>
      <c r="C240" s="1004" t="s">
        <v>405</v>
      </c>
      <c r="D240" s="822"/>
      <c r="E240" s="822"/>
      <c r="F240" s="822"/>
      <c r="G240" s="822"/>
      <c r="H240" s="822"/>
    </row>
    <row r="241" spans="1:8" ht="18" x14ac:dyDescent="0.25">
      <c r="A241" s="820">
        <v>237</v>
      </c>
      <c r="B241" s="312" t="str">
        <f t="shared" si="3"/>
        <v>Sheet "D_Processes" - Production level and attributed emissions for SEE calculation</v>
      </c>
      <c r="C241" s="312" t="s">
        <v>408</v>
      </c>
      <c r="D241" s="822"/>
      <c r="E241" s="822"/>
      <c r="F241" s="822"/>
      <c r="G241" s="822"/>
      <c r="H241" s="822"/>
    </row>
    <row r="242" spans="1:8" ht="15.75" x14ac:dyDescent="0.25">
      <c r="A242" s="820">
        <v>238</v>
      </c>
      <c r="B242" s="311" t="str">
        <f t="shared" si="3"/>
        <v>Data input for the determination of the specific embedded emissions</v>
      </c>
      <c r="C242" s="311" t="s">
        <v>607</v>
      </c>
      <c r="D242" s="822"/>
      <c r="E242" s="822"/>
      <c r="F242" s="822"/>
      <c r="G242" s="822"/>
      <c r="H242" s="822"/>
    </row>
    <row r="243" spans="1:8" ht="12.75" x14ac:dyDescent="0.25">
      <c r="A243" s="820">
        <v>239</v>
      </c>
      <c r="B243" s="1038" t="str">
        <f t="shared" si="3"/>
        <v>Total production levels:</v>
      </c>
      <c r="C243" s="1038" t="s">
        <v>310</v>
      </c>
      <c r="D243" s="822"/>
      <c r="E243" s="822"/>
      <c r="F243" s="822"/>
      <c r="G243" s="822"/>
      <c r="H243" s="822"/>
    </row>
    <row r="244" spans="1:8" ht="12.75" x14ac:dyDescent="0.25">
      <c r="A244" s="820">
        <v>240</v>
      </c>
      <c r="B244" s="1039" t="str">
        <f t="shared" si="3"/>
        <v>Production route</v>
      </c>
      <c r="C244" s="1039" t="s">
        <v>1</v>
      </c>
      <c r="D244" s="822"/>
      <c r="E244" s="822"/>
      <c r="F244" s="822"/>
      <c r="G244" s="822"/>
      <c r="H244" s="822"/>
    </row>
    <row r="245" spans="1:8" ht="12.75" x14ac:dyDescent="0.25">
      <c r="A245" s="820">
        <v>241</v>
      </c>
      <c r="B245" s="1040" t="str">
        <f t="shared" si="3"/>
        <v>Amounts</v>
      </c>
      <c r="C245" s="1040" t="s">
        <v>36</v>
      </c>
      <c r="D245" s="822"/>
      <c r="E245" s="822"/>
      <c r="F245" s="822"/>
      <c r="G245" s="822"/>
      <c r="H245" s="822"/>
    </row>
    <row r="246" spans="1:8" ht="12.75" x14ac:dyDescent="0.25">
      <c r="A246" s="820">
        <v>242</v>
      </c>
      <c r="B246" s="1037" t="str">
        <f t="shared" si="3"/>
        <v>Total production within installation (= denominator for SEE calculation):</v>
      </c>
      <c r="C246" s="1037" t="s">
        <v>431</v>
      </c>
      <c r="D246" s="822"/>
      <c r="E246" s="822"/>
      <c r="F246" s="822"/>
      <c r="G246" s="822"/>
      <c r="H246" s="822"/>
    </row>
    <row r="247" spans="1:8" ht="12.75" x14ac:dyDescent="0.25">
      <c r="A247" s="820">
        <v>243</v>
      </c>
      <c r="B247" s="1041" t="str">
        <f t="shared" si="3"/>
        <v>Production details</v>
      </c>
      <c r="C247" s="1041" t="s">
        <v>596</v>
      </c>
      <c r="D247" s="822"/>
      <c r="E247" s="822"/>
      <c r="F247" s="822"/>
      <c r="G247" s="822"/>
      <c r="H247" s="822"/>
    </row>
    <row r="248" spans="1:8" ht="12.75" x14ac:dyDescent="0.25">
      <c r="A248" s="820">
        <v>244</v>
      </c>
      <c r="B248" s="1037" t="str">
        <f t="shared" si="3"/>
        <v>Produced for the market</v>
      </c>
      <c r="C248" s="1037" t="s">
        <v>311</v>
      </c>
      <c r="D248" s="822"/>
      <c r="E248" s="822"/>
      <c r="F248" s="822"/>
      <c r="G248" s="822"/>
      <c r="H248" s="822"/>
    </row>
    <row r="249" spans="1:8" ht="12.75" x14ac:dyDescent="0.25">
      <c r="A249" s="820">
        <v>245</v>
      </c>
      <c r="B249" s="617" t="str">
        <f t="shared" si="3"/>
        <v>Share of total under (a) produced for the market</v>
      </c>
      <c r="C249" s="617" t="s">
        <v>2814</v>
      </c>
      <c r="D249" s="822"/>
      <c r="E249" s="822"/>
      <c r="F249" s="822"/>
      <c r="G249" s="822"/>
      <c r="H249" s="822"/>
    </row>
    <row r="250" spans="1:8" ht="12.75" x14ac:dyDescent="0.25">
      <c r="A250" s="820">
        <v>246</v>
      </c>
      <c r="B250" s="618" t="str">
        <f t="shared" si="3"/>
        <v>Total production only for the market?</v>
      </c>
      <c r="C250" s="618" t="s">
        <v>279</v>
      </c>
      <c r="D250" s="822"/>
      <c r="E250" s="822"/>
      <c r="F250" s="822"/>
      <c r="G250" s="822"/>
      <c r="H250" s="822"/>
    </row>
    <row r="251" spans="1:8" ht="12.75" x14ac:dyDescent="0.25">
      <c r="A251" s="820">
        <v>247</v>
      </c>
      <c r="B251" s="1041" t="str">
        <f t="shared" si="3"/>
        <v>Consumed in other 'production processes' within the installation:</v>
      </c>
      <c r="C251" s="1041" t="s">
        <v>2896</v>
      </c>
      <c r="D251" s="822"/>
      <c r="E251" s="822"/>
      <c r="F251" s="822"/>
      <c r="G251" s="822"/>
      <c r="H251" s="822"/>
    </row>
    <row r="252" spans="1:8" ht="12.75" x14ac:dyDescent="0.25">
      <c r="A252" s="820">
        <v>248</v>
      </c>
      <c r="B252" s="1041" t="str">
        <f t="shared" si="3"/>
        <v>Consumed for non-CBAM goods within the installation:</v>
      </c>
      <c r="C252" s="1041" t="s">
        <v>278</v>
      </c>
      <c r="D252" s="822"/>
      <c r="E252" s="822"/>
      <c r="F252" s="822"/>
      <c r="G252" s="822"/>
      <c r="H252" s="822"/>
    </row>
    <row r="253" spans="1:8" ht="12.75" x14ac:dyDescent="0.25">
      <c r="A253" s="820">
        <v>249</v>
      </c>
      <c r="B253" s="1037" t="str">
        <f t="shared" si="3"/>
        <v>Control:</v>
      </c>
      <c r="C253" s="1037" t="s">
        <v>37</v>
      </c>
      <c r="D253" s="822"/>
      <c r="E253" s="822"/>
      <c r="F253" s="822"/>
      <c r="G253" s="822"/>
      <c r="H253" s="822"/>
    </row>
    <row r="254" spans="1:8" ht="15.75" x14ac:dyDescent="0.25">
      <c r="A254" s="820">
        <v>250</v>
      </c>
      <c r="B254" s="193" t="str">
        <f t="shared" si="3"/>
        <v>Calculation of the attributed emissions:</v>
      </c>
      <c r="C254" s="193" t="s">
        <v>403</v>
      </c>
      <c r="D254" s="822"/>
      <c r="E254" s="822"/>
      <c r="F254" s="822"/>
      <c r="G254" s="822"/>
      <c r="H254" s="822"/>
    </row>
    <row r="255" spans="1:8" ht="12.75" x14ac:dyDescent="0.2">
      <c r="A255" s="820">
        <v>251</v>
      </c>
      <c r="B255" s="1042" t="str">
        <f t="shared" si="3"/>
        <v>Measurable heat</v>
      </c>
      <c r="C255" s="1042" t="s">
        <v>123</v>
      </c>
      <c r="D255" s="822"/>
      <c r="E255" s="822"/>
      <c r="F255" s="822"/>
      <c r="G255" s="822"/>
      <c r="H255" s="822"/>
    </row>
    <row r="256" spans="1:8" ht="12.75" x14ac:dyDescent="0.2">
      <c r="A256" s="820">
        <v>252</v>
      </c>
      <c r="B256" s="1042" t="str">
        <f t="shared" si="3"/>
        <v>Waste gases</v>
      </c>
      <c r="C256" s="1042" t="s">
        <v>120</v>
      </c>
      <c r="D256" s="822"/>
      <c r="E256" s="822"/>
      <c r="F256" s="822"/>
      <c r="G256" s="822"/>
      <c r="H256" s="822"/>
    </row>
    <row r="257" spans="1:8" ht="12.75" x14ac:dyDescent="0.2">
      <c r="A257" s="820">
        <v>253</v>
      </c>
      <c r="B257" s="1042" t="str">
        <f t="shared" si="3"/>
        <v>Indirect emissions</v>
      </c>
      <c r="C257" s="1042" t="s">
        <v>50</v>
      </c>
      <c r="D257" s="822"/>
      <c r="E257" s="822"/>
      <c r="F257" s="822"/>
      <c r="G257" s="822"/>
      <c r="H257" s="822"/>
    </row>
    <row r="258" spans="1:8" ht="12.75" x14ac:dyDescent="0.25">
      <c r="A258" s="820">
        <v>254</v>
      </c>
      <c r="B258" s="1043" t="str">
        <f t="shared" si="3"/>
        <v>Please select which elements are applicable</v>
      </c>
      <c r="C258" s="1043" t="s">
        <v>124</v>
      </c>
      <c r="D258" s="822"/>
      <c r="E258" s="822"/>
      <c r="F258" s="822"/>
      <c r="G258" s="822"/>
      <c r="H258" s="822"/>
    </row>
    <row r="259" spans="1:8" x14ac:dyDescent="0.25">
      <c r="A259" s="820">
        <v>255</v>
      </c>
      <c r="B259" s="1044" t="str">
        <f t="shared" si="3"/>
        <v>Based on your selection, related sections below might become irrelevant and greyed out below.</v>
      </c>
      <c r="C259" s="1044" t="s">
        <v>2774</v>
      </c>
      <c r="D259" s="822"/>
      <c r="E259" s="822"/>
      <c r="F259" s="822"/>
      <c r="G259" s="822"/>
      <c r="H259" s="822"/>
    </row>
    <row r="260" spans="1:8" ht="12.75" x14ac:dyDescent="0.25">
      <c r="A260" s="820">
        <v>256</v>
      </c>
      <c r="B260" s="1045" t="str">
        <f t="shared" si="3"/>
        <v>Value</v>
      </c>
      <c r="C260" s="1045" t="s">
        <v>5</v>
      </c>
      <c r="D260" s="822"/>
      <c r="E260" s="822"/>
      <c r="F260" s="822"/>
      <c r="G260" s="822"/>
      <c r="H260" s="822"/>
    </row>
    <row r="261" spans="1:8" ht="12.75" x14ac:dyDescent="0.25">
      <c r="A261" s="820">
        <v>257</v>
      </c>
      <c r="B261" s="1043" t="str">
        <f t="shared" si="3"/>
        <v>Directly attributable emissions (DirEm*)</v>
      </c>
      <c r="C261" s="1043" t="s">
        <v>7</v>
      </c>
      <c r="D261" s="822"/>
      <c r="E261" s="822"/>
      <c r="F261" s="822"/>
      <c r="G261" s="822"/>
      <c r="H261" s="822"/>
    </row>
    <row r="262" spans="1:8" ht="12.75" x14ac:dyDescent="0.25">
      <c r="A262" s="820">
        <v>258</v>
      </c>
      <c r="B262" s="1045" t="str">
        <f t="shared" ref="B262:B325" si="4">IFERROR(INDEX(C262:M262,$A$3-2),$C262)</f>
        <v>Import and export of measurable heat</v>
      </c>
      <c r="C262" s="1045" t="s">
        <v>11</v>
      </c>
      <c r="D262" s="822"/>
      <c r="E262" s="822"/>
      <c r="F262" s="822"/>
      <c r="G262" s="822"/>
      <c r="H262" s="822"/>
    </row>
    <row r="263" spans="1:8" ht="12.75" x14ac:dyDescent="0.25">
      <c r="A263" s="820">
        <v>259</v>
      </c>
      <c r="B263" s="1045" t="str">
        <f t="shared" si="4"/>
        <v>Imported</v>
      </c>
      <c r="C263" s="1045" t="s">
        <v>8</v>
      </c>
      <c r="D263" s="822"/>
      <c r="E263" s="822"/>
      <c r="F263" s="822"/>
      <c r="G263" s="822"/>
      <c r="H263" s="822"/>
    </row>
    <row r="264" spans="1:8" ht="12.75" x14ac:dyDescent="0.25">
      <c r="A264" s="820">
        <v>260</v>
      </c>
      <c r="B264" s="1045" t="str">
        <f t="shared" si="4"/>
        <v>Exported</v>
      </c>
      <c r="C264" s="1045" t="s">
        <v>9</v>
      </c>
      <c r="D264" s="822"/>
      <c r="E264" s="822"/>
      <c r="F264" s="822"/>
      <c r="G264" s="822"/>
      <c r="H264" s="822"/>
    </row>
    <row r="265" spans="1:8" ht="12.75" x14ac:dyDescent="0.25">
      <c r="A265" s="820">
        <v>261</v>
      </c>
      <c r="B265" s="1046" t="str">
        <f t="shared" si="4"/>
        <v>Amount of net measurable heat</v>
      </c>
      <c r="C265" s="1046" t="s">
        <v>2904</v>
      </c>
      <c r="D265" s="822"/>
      <c r="E265" s="822"/>
      <c r="F265" s="822"/>
      <c r="G265" s="822"/>
      <c r="H265" s="822"/>
    </row>
    <row r="266" spans="1:8" ht="12.75" x14ac:dyDescent="0.25">
      <c r="A266" s="820">
        <v>262</v>
      </c>
      <c r="B266" s="1046" t="str">
        <f t="shared" si="4"/>
        <v>Emissions factor</v>
      </c>
      <c r="C266" s="1046" t="s">
        <v>122</v>
      </c>
      <c r="D266" s="822"/>
      <c r="E266" s="822"/>
      <c r="F266" s="822"/>
      <c r="G266" s="822"/>
      <c r="H266" s="822"/>
    </row>
    <row r="267" spans="1:8" ht="12.75" x14ac:dyDescent="0.25">
      <c r="A267" s="820">
        <v>263</v>
      </c>
      <c r="B267" s="1046" t="str">
        <f t="shared" si="4"/>
        <v>Amount of waste gas</v>
      </c>
      <c r="C267" s="1046" t="s">
        <v>121</v>
      </c>
      <c r="D267" s="822"/>
      <c r="E267" s="822"/>
      <c r="F267" s="822"/>
      <c r="G267" s="822"/>
      <c r="H267" s="822"/>
    </row>
    <row r="268" spans="1:8" ht="12.75" x14ac:dyDescent="0.25">
      <c r="A268" s="820">
        <v>264</v>
      </c>
      <c r="B268" s="1046" t="str">
        <f t="shared" si="4"/>
        <v>Emission factor</v>
      </c>
      <c r="C268" s="1046" t="s">
        <v>117</v>
      </c>
      <c r="D268" s="822"/>
      <c r="E268" s="822"/>
      <c r="F268" s="822"/>
      <c r="G268" s="822"/>
      <c r="H268" s="822"/>
    </row>
    <row r="269" spans="1:8" ht="12.75" x14ac:dyDescent="0.25">
      <c r="A269" s="820">
        <v>265</v>
      </c>
      <c r="B269" s="1045" t="str">
        <f t="shared" si="4"/>
        <v>Indirect emissions from electricity consumption</v>
      </c>
      <c r="C269" s="1045" t="s">
        <v>119</v>
      </c>
      <c r="D269" s="822"/>
      <c r="E269" s="822"/>
      <c r="F269" s="822"/>
      <c r="G269" s="822"/>
      <c r="H269" s="822"/>
    </row>
    <row r="270" spans="1:8" ht="12.75" x14ac:dyDescent="0.25">
      <c r="A270" s="820">
        <v>266</v>
      </c>
      <c r="B270" s="1046" t="str">
        <f t="shared" si="4"/>
        <v>Electricity consumption</v>
      </c>
      <c r="C270" s="1046" t="s">
        <v>10</v>
      </c>
      <c r="D270" s="822"/>
      <c r="E270" s="822"/>
      <c r="F270" s="822"/>
      <c r="G270" s="822"/>
      <c r="H270" s="822"/>
    </row>
    <row r="271" spans="1:8" ht="12.75" x14ac:dyDescent="0.25">
      <c r="A271" s="820">
        <v>267</v>
      </c>
      <c r="B271" s="1046" t="str">
        <f t="shared" si="4"/>
        <v>Emission factor of the electricity</v>
      </c>
      <c r="C271" s="1046" t="s">
        <v>594</v>
      </c>
      <c r="D271" s="822"/>
      <c r="E271" s="822"/>
      <c r="F271" s="822"/>
      <c r="G271" s="822"/>
      <c r="H271" s="822"/>
    </row>
    <row r="272" spans="1:8" ht="12.75" x14ac:dyDescent="0.25">
      <c r="A272" s="820">
        <v>268</v>
      </c>
      <c r="B272" s="1046" t="str">
        <f t="shared" si="4"/>
        <v>Source of the emission factor</v>
      </c>
      <c r="C272" s="1046" t="s">
        <v>593</v>
      </c>
      <c r="D272" s="822"/>
      <c r="E272" s="822"/>
      <c r="F272" s="822"/>
      <c r="G272" s="822"/>
      <c r="H272" s="822"/>
    </row>
    <row r="273" spans="1:8" ht="12.75" x14ac:dyDescent="0.25">
      <c r="A273" s="820">
        <v>269</v>
      </c>
      <c r="B273" s="1045" t="str">
        <f t="shared" si="4"/>
        <v>Electricity exported from the production process</v>
      </c>
      <c r="C273" s="1045" t="s">
        <v>404</v>
      </c>
      <c r="D273" s="822"/>
      <c r="E273" s="822"/>
      <c r="F273" s="822"/>
      <c r="G273" s="822"/>
      <c r="H273" s="822"/>
    </row>
    <row r="274" spans="1:8" ht="12.75" x14ac:dyDescent="0.25">
      <c r="A274" s="820">
        <v>270</v>
      </c>
      <c r="B274" s="1046" t="str">
        <f t="shared" si="4"/>
        <v>Amounts exported</v>
      </c>
      <c r="C274" s="1046" t="s">
        <v>595</v>
      </c>
      <c r="D274" s="822"/>
      <c r="E274" s="822"/>
      <c r="F274" s="822"/>
      <c r="G274" s="822"/>
      <c r="H274" s="822"/>
    </row>
    <row r="275" spans="1:8" ht="18" x14ac:dyDescent="0.25">
      <c r="A275" s="820">
        <v>271</v>
      </c>
      <c r="B275" s="312" t="str">
        <f t="shared" si="4"/>
        <v>Sheet "E_PurchPrec" - Purchased precursors for SEE calculation</v>
      </c>
      <c r="C275" s="312" t="s">
        <v>430</v>
      </c>
      <c r="D275" s="822"/>
      <c r="E275" s="822"/>
      <c r="F275" s="822"/>
      <c r="G275" s="822"/>
      <c r="H275" s="822"/>
    </row>
    <row r="276" spans="1:8" ht="12.75" x14ac:dyDescent="0.25">
      <c r="A276" s="820">
        <v>272</v>
      </c>
      <c r="B276" s="1038" t="str">
        <f t="shared" si="4"/>
        <v>Total purchased levels:</v>
      </c>
      <c r="C276" s="1038" t="s">
        <v>363</v>
      </c>
      <c r="D276" s="822"/>
      <c r="E276" s="822"/>
      <c r="F276" s="822"/>
      <c r="G276" s="822"/>
      <c r="H276" s="822"/>
    </row>
    <row r="277" spans="1:8" ht="12.75" x14ac:dyDescent="0.25">
      <c r="A277" s="820">
        <v>273</v>
      </c>
      <c r="B277" s="1037" t="str">
        <f t="shared" si="4"/>
        <v>Total consumption within installation:</v>
      </c>
      <c r="C277" s="1037" t="s">
        <v>376</v>
      </c>
      <c r="D277" s="822"/>
      <c r="E277" s="822"/>
      <c r="F277" s="822"/>
      <c r="G277" s="822"/>
      <c r="H277" s="822"/>
    </row>
    <row r="278" spans="1:8" ht="12.75" x14ac:dyDescent="0.25">
      <c r="A278" s="820">
        <v>274</v>
      </c>
      <c r="B278" s="1041" t="str">
        <f t="shared" si="4"/>
        <v>Consumed in "production processes" within the installation:</v>
      </c>
      <c r="C278" s="1041" t="s">
        <v>4133</v>
      </c>
      <c r="D278" s="822"/>
      <c r="E278" s="822"/>
      <c r="F278" s="822"/>
      <c r="G278" s="822"/>
      <c r="H278" s="822"/>
    </row>
    <row r="279" spans="1:8" ht="15.75" x14ac:dyDescent="0.25">
      <c r="A279" s="820">
        <v>275</v>
      </c>
      <c r="B279" s="193" t="str">
        <f t="shared" si="4"/>
        <v>Specific embedded emissions:</v>
      </c>
      <c r="C279" s="193" t="s">
        <v>421</v>
      </c>
      <c r="D279" s="822"/>
      <c r="E279" s="822"/>
      <c r="F279" s="822"/>
      <c r="G279" s="822"/>
      <c r="H279" s="822"/>
    </row>
    <row r="280" spans="1:8" ht="12.75" x14ac:dyDescent="0.25">
      <c r="A280" s="820">
        <v>276</v>
      </c>
      <c r="B280" s="1045" t="str">
        <f t="shared" si="4"/>
        <v>Emissions embedded in this purchased precursor</v>
      </c>
      <c r="C280" s="1045" t="s">
        <v>424</v>
      </c>
      <c r="D280" s="822"/>
      <c r="E280" s="822"/>
      <c r="F280" s="822"/>
      <c r="G280" s="822"/>
      <c r="H280" s="822"/>
    </row>
    <row r="281" spans="1:8" x14ac:dyDescent="0.25">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x14ac:dyDescent="0.25">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x14ac:dyDescent="0.25">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2.75" x14ac:dyDescent="0.25">
      <c r="A284" s="820">
        <v>280</v>
      </c>
      <c r="B284" s="1045" t="str">
        <f t="shared" si="4"/>
        <v>Parameter:</v>
      </c>
      <c r="C284" s="1045" t="s">
        <v>410</v>
      </c>
      <c r="D284" s="822"/>
      <c r="E284" s="822"/>
      <c r="F284" s="822"/>
      <c r="G284" s="822"/>
      <c r="H284" s="822"/>
    </row>
    <row r="285" spans="1:8" ht="12.75" x14ac:dyDescent="0.25">
      <c r="A285" s="820">
        <v>281</v>
      </c>
      <c r="B285" s="1045" t="str">
        <f t="shared" si="4"/>
        <v>Source</v>
      </c>
      <c r="C285" s="1045" t="s">
        <v>2772</v>
      </c>
      <c r="D285" s="822"/>
      <c r="E285" s="822"/>
      <c r="F285" s="822"/>
      <c r="G285" s="822"/>
      <c r="H285" s="822"/>
    </row>
    <row r="286" spans="1:8" ht="12.75" x14ac:dyDescent="0.25">
      <c r="A286" s="820">
        <v>282</v>
      </c>
      <c r="B286" s="1046" t="str">
        <f t="shared" si="4"/>
        <v>Specific embedded direct emissions (SEE (direct) )</v>
      </c>
      <c r="C286" s="1046" t="s">
        <v>4135</v>
      </c>
      <c r="D286" s="822"/>
      <c r="E286" s="822"/>
      <c r="F286" s="822"/>
      <c r="G286" s="822"/>
      <c r="H286" s="822"/>
    </row>
    <row r="287" spans="1:8" ht="13.5" thickBot="1" x14ac:dyDescent="0.3">
      <c r="A287" s="820">
        <v>283</v>
      </c>
      <c r="B287" s="1046" t="str">
        <f t="shared" si="4"/>
        <v>Specific embedded indirect emissions (SEE (indirect) )</v>
      </c>
      <c r="C287" s="1046" t="s">
        <v>4136</v>
      </c>
      <c r="D287" s="822"/>
      <c r="E287" s="822"/>
      <c r="F287" s="822"/>
      <c r="G287" s="822"/>
      <c r="H287" s="822"/>
    </row>
    <row r="288" spans="1:8" ht="12.75" x14ac:dyDescent="0.25">
      <c r="A288" s="820">
        <v>284</v>
      </c>
      <c r="B288" s="1004" t="str">
        <f t="shared" si="4"/>
        <v>Tools</v>
      </c>
      <c r="C288" s="1004" t="s">
        <v>366</v>
      </c>
      <c r="D288" s="822"/>
      <c r="E288" s="822"/>
      <c r="F288" s="822"/>
      <c r="G288" s="822"/>
      <c r="H288" s="822"/>
    </row>
    <row r="289" spans="1:8" ht="18" x14ac:dyDescent="0.25">
      <c r="A289" s="820">
        <v>285</v>
      </c>
      <c r="B289" s="312" t="str">
        <f t="shared" si="4"/>
        <v>Sheet "F_Tools" - Tools for facilitating reporting</v>
      </c>
      <c r="C289" s="312" t="s">
        <v>2823</v>
      </c>
      <c r="D289" s="822"/>
      <c r="E289" s="822"/>
      <c r="F289" s="822"/>
      <c r="G289" s="822"/>
      <c r="H289" s="822"/>
    </row>
    <row r="290" spans="1:8" ht="15.75" x14ac:dyDescent="0.25">
      <c r="A290" s="820">
        <v>286</v>
      </c>
      <c r="B290" s="311" t="str">
        <f t="shared" si="4"/>
        <v>Cogeneration Tool</v>
      </c>
      <c r="C290" s="311" t="s">
        <v>637</v>
      </c>
      <c r="D290" s="822"/>
      <c r="E290" s="822"/>
      <c r="F290" s="822"/>
      <c r="G290" s="822"/>
      <c r="H290" s="822"/>
    </row>
    <row r="291" spans="1:8" x14ac:dyDescent="0.25">
      <c r="A291" s="820">
        <v>287</v>
      </c>
      <c r="B291" s="644" t="str">
        <f t="shared" si="4"/>
        <v>This is a tool for attributing fuels and emissions of CHPs to heat and electricity output.</v>
      </c>
      <c r="C291" s="644" t="s">
        <v>2913</v>
      </c>
      <c r="D291" s="822"/>
      <c r="E291" s="822"/>
      <c r="F291" s="822"/>
      <c r="G291" s="822"/>
      <c r="H291" s="822"/>
    </row>
    <row r="292" spans="1:8" x14ac:dyDescent="0.25">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x14ac:dyDescent="0.25">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5" x14ac:dyDescent="0.25">
      <c r="A294" s="820">
        <v>290</v>
      </c>
      <c r="B294" s="1047" t="str">
        <f t="shared" si="4"/>
        <v>Tool to calculate the emissions attributable to heat production in combined heat and power units (CHP)</v>
      </c>
      <c r="C294" s="1047" t="s">
        <v>3027</v>
      </c>
      <c r="D294" s="822"/>
      <c r="E294" s="822"/>
      <c r="F294" s="822"/>
      <c r="G294" s="822"/>
      <c r="H294" s="822"/>
    </row>
    <row r="295" spans="1:8" ht="12.75" x14ac:dyDescent="0.25">
      <c r="A295" s="820">
        <v>291</v>
      </c>
      <c r="B295" s="645" t="str">
        <f t="shared" si="4"/>
        <v>Total amount of fuel input into CHP units</v>
      </c>
      <c r="C295" s="645" t="s">
        <v>611</v>
      </c>
      <c r="D295" s="822"/>
      <c r="E295" s="822"/>
      <c r="F295" s="822"/>
      <c r="G295" s="822"/>
      <c r="H295" s="822"/>
    </row>
    <row r="296" spans="1:8" x14ac:dyDescent="0.25">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2.75" x14ac:dyDescent="0.2">
      <c r="A297" s="820">
        <v>293</v>
      </c>
      <c r="B297" s="1048" t="str">
        <f t="shared" si="4"/>
        <v>Parameter</v>
      </c>
      <c r="C297" s="1048" t="s">
        <v>641</v>
      </c>
      <c r="D297" s="822"/>
      <c r="E297" s="822"/>
      <c r="F297" s="822"/>
      <c r="G297" s="822"/>
      <c r="H297" s="822"/>
    </row>
    <row r="298" spans="1:8" ht="12.75" x14ac:dyDescent="0.2">
      <c r="A298" s="820">
        <v>294</v>
      </c>
      <c r="B298" s="1049" t="str">
        <f t="shared" si="4"/>
        <v>Fuel input into CHP</v>
      </c>
      <c r="C298" s="1049" t="s">
        <v>612</v>
      </c>
      <c r="D298" s="822"/>
      <c r="E298" s="822"/>
      <c r="F298" s="822"/>
      <c r="G298" s="822"/>
      <c r="H298" s="822"/>
    </row>
    <row r="299" spans="1:8" ht="12.75" x14ac:dyDescent="0.2">
      <c r="A299" s="820">
        <v>295</v>
      </c>
      <c r="B299" s="1049" t="str">
        <f t="shared" si="4"/>
        <v>Heat output from CHP</v>
      </c>
      <c r="C299" s="1049" t="s">
        <v>613</v>
      </c>
      <c r="D299" s="822"/>
      <c r="E299" s="822"/>
      <c r="F299" s="822"/>
      <c r="G299" s="822"/>
      <c r="H299" s="822"/>
    </row>
    <row r="300" spans="1:8" ht="12.75" x14ac:dyDescent="0.2">
      <c r="A300" s="820">
        <v>296</v>
      </c>
      <c r="B300" s="1049" t="str">
        <f t="shared" si="4"/>
        <v>Electricity output from CHP</v>
      </c>
      <c r="C300" s="1049" t="s">
        <v>614</v>
      </c>
      <c r="D300" s="822"/>
      <c r="E300" s="822"/>
      <c r="F300" s="822"/>
      <c r="G300" s="822"/>
      <c r="H300" s="822"/>
    </row>
    <row r="301" spans="1:8" ht="12.75" x14ac:dyDescent="0.25">
      <c r="A301" s="820">
        <v>297</v>
      </c>
      <c r="B301" s="1050" t="str">
        <f t="shared" si="4"/>
        <v>Inputs and outputs</v>
      </c>
      <c r="C301" s="1050" t="s">
        <v>642</v>
      </c>
      <c r="D301" s="822"/>
      <c r="E301" s="822"/>
      <c r="F301" s="822"/>
      <c r="G301" s="822"/>
      <c r="H301" s="822"/>
    </row>
    <row r="302" spans="1:8" ht="12.75" x14ac:dyDescent="0.25">
      <c r="A302" s="820">
        <v>298</v>
      </c>
      <c r="B302" s="645" t="str">
        <f t="shared" si="4"/>
        <v>Total emissions from CHP</v>
      </c>
      <c r="C302" s="645" t="s">
        <v>615</v>
      </c>
      <c r="D302" s="822"/>
      <c r="E302" s="822"/>
      <c r="F302" s="822"/>
      <c r="G302" s="822"/>
      <c r="H302" s="822"/>
    </row>
    <row r="303" spans="1:8" x14ac:dyDescent="0.25">
      <c r="A303" s="820">
        <v>299</v>
      </c>
      <c r="B303" s="647" t="str">
        <f t="shared" si="4"/>
        <v>Values should distinguish between emissions from fuel input and from flue gas cleaning.</v>
      </c>
      <c r="C303" s="647" t="s">
        <v>616</v>
      </c>
      <c r="D303" s="822"/>
      <c r="E303" s="822"/>
      <c r="F303" s="822"/>
      <c r="G303" s="822"/>
      <c r="H303" s="822"/>
    </row>
    <row r="304" spans="1:8" ht="12.75" x14ac:dyDescent="0.2">
      <c r="A304" s="820">
        <v>300</v>
      </c>
      <c r="B304" s="1049" t="str">
        <f t="shared" si="4"/>
        <v>From fuel input to CHP</v>
      </c>
      <c r="C304" s="1049" t="s">
        <v>617</v>
      </c>
      <c r="D304" s="822"/>
      <c r="E304" s="822"/>
      <c r="F304" s="822"/>
      <c r="G304" s="822"/>
      <c r="H304" s="822"/>
    </row>
    <row r="305" spans="1:8" ht="12.75" x14ac:dyDescent="0.2">
      <c r="A305" s="820">
        <v>301</v>
      </c>
      <c r="B305" s="1049" t="str">
        <f t="shared" si="4"/>
        <v>From flue gas cleaning</v>
      </c>
      <c r="C305" s="1049" t="s">
        <v>618</v>
      </c>
      <c r="D305" s="822"/>
      <c r="E305" s="822"/>
      <c r="F305" s="822"/>
      <c r="G305" s="822"/>
      <c r="H305" s="822"/>
    </row>
    <row r="306" spans="1:8" ht="12.75" x14ac:dyDescent="0.25">
      <c r="A306" s="820">
        <v>302</v>
      </c>
      <c r="B306" s="1050" t="str">
        <f t="shared" si="4"/>
        <v>GHG emissions</v>
      </c>
      <c r="C306" s="1050" t="s">
        <v>646</v>
      </c>
      <c r="D306" s="822"/>
      <c r="E306" s="822"/>
      <c r="F306" s="822"/>
      <c r="G306" s="822"/>
      <c r="H306" s="822"/>
    </row>
    <row r="307" spans="1:8" ht="12.75" x14ac:dyDescent="0.25">
      <c r="A307" s="820">
        <v>303</v>
      </c>
      <c r="B307" s="1051" t="str">
        <f t="shared" si="4"/>
        <v>t CO2/year</v>
      </c>
      <c r="C307" s="1051" t="s">
        <v>2760</v>
      </c>
      <c r="D307" s="822"/>
      <c r="E307" s="822"/>
      <c r="F307" s="822"/>
      <c r="G307" s="822"/>
      <c r="H307" s="822"/>
    </row>
    <row r="308" spans="1:8" ht="12.75" x14ac:dyDescent="0.25">
      <c r="A308" s="820">
        <v>304</v>
      </c>
      <c r="B308" s="648" t="str">
        <f t="shared" si="4"/>
        <v>Default efficiencies:</v>
      </c>
      <c r="C308" s="648" t="s">
        <v>620</v>
      </c>
      <c r="D308" s="822"/>
      <c r="E308" s="822"/>
      <c r="F308" s="822"/>
      <c r="G308" s="822"/>
      <c r="H308" s="822"/>
    </row>
    <row r="309" spans="1:8" ht="12.75" x14ac:dyDescent="0.25">
      <c r="A309" s="820">
        <v>305</v>
      </c>
      <c r="B309" s="635" t="str">
        <f t="shared" si="4"/>
        <v>Heat:</v>
      </c>
      <c r="C309" s="635" t="s">
        <v>621</v>
      </c>
      <c r="D309" s="822"/>
      <c r="E309" s="822"/>
      <c r="F309" s="822"/>
      <c r="G309" s="822"/>
      <c r="H309" s="822"/>
    </row>
    <row r="310" spans="1:8" ht="12.75" x14ac:dyDescent="0.25">
      <c r="A310" s="820">
        <v>306</v>
      </c>
      <c r="B310" s="635" t="str">
        <f t="shared" si="4"/>
        <v>Electricity:</v>
      </c>
      <c r="C310" s="635" t="s">
        <v>622</v>
      </c>
      <c r="D310" s="822"/>
      <c r="E310" s="822"/>
      <c r="F310" s="822"/>
      <c r="G310" s="822"/>
      <c r="H310" s="822"/>
    </row>
    <row r="311" spans="1:8" ht="12.75" x14ac:dyDescent="0.25">
      <c r="A311" s="820">
        <v>307</v>
      </c>
      <c r="B311" s="645" t="str">
        <f t="shared" si="4"/>
        <v>Efficiencies for heat and electricity</v>
      </c>
      <c r="C311" s="645" t="s">
        <v>623</v>
      </c>
      <c r="D311" s="822"/>
      <c r="E311" s="822"/>
      <c r="F311" s="822"/>
      <c r="G311" s="822"/>
      <c r="H311" s="822"/>
    </row>
    <row r="312" spans="1:8" x14ac:dyDescent="0.25">
      <c r="A312" s="820">
        <v>308</v>
      </c>
      <c r="B312" s="647" t="str">
        <f t="shared" si="4"/>
        <v>These values are dimensionless and automatically calculated from inputs in (a) to (c) above.</v>
      </c>
      <c r="C312" s="647" t="s">
        <v>624</v>
      </c>
      <c r="D312" s="822"/>
      <c r="E312" s="822"/>
      <c r="F312" s="822"/>
      <c r="G312" s="822"/>
      <c r="H312" s="822"/>
    </row>
    <row r="313" spans="1:8" x14ac:dyDescent="0.25">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2.75" x14ac:dyDescent="0.2">
      <c r="A314" s="820">
        <v>310</v>
      </c>
      <c r="B314" s="1049" t="str">
        <f t="shared" si="4"/>
        <v>Heat production</v>
      </c>
      <c r="C314" s="1049" t="s">
        <v>625</v>
      </c>
      <c r="D314" s="822"/>
      <c r="E314" s="822"/>
      <c r="F314" s="822"/>
      <c r="G314" s="822"/>
      <c r="H314" s="822"/>
    </row>
    <row r="315" spans="1:8" ht="12.75" x14ac:dyDescent="0.2">
      <c r="A315" s="820">
        <v>311</v>
      </c>
      <c r="B315" s="1049" t="str">
        <f t="shared" si="4"/>
        <v>Electricity production</v>
      </c>
      <c r="C315" s="1049" t="s">
        <v>626</v>
      </c>
      <c r="D315" s="822"/>
      <c r="E315" s="822"/>
      <c r="F315" s="822"/>
      <c r="G315" s="822"/>
      <c r="H315" s="822"/>
    </row>
    <row r="316" spans="1:8" ht="12.75" x14ac:dyDescent="0.2">
      <c r="A316" s="820">
        <v>312</v>
      </c>
      <c r="B316" s="1049" t="str">
        <f t="shared" si="4"/>
        <v>Total</v>
      </c>
      <c r="C316" s="1049" t="s">
        <v>0</v>
      </c>
      <c r="D316" s="822"/>
      <c r="E316" s="822"/>
      <c r="F316" s="822"/>
      <c r="G316" s="822"/>
      <c r="H316" s="822"/>
    </row>
    <row r="317" spans="1:8" ht="12.75" x14ac:dyDescent="0.25">
      <c r="A317" s="820">
        <v>313</v>
      </c>
      <c r="B317" s="1050" t="str">
        <f t="shared" si="4"/>
        <v>Efficiencies</v>
      </c>
      <c r="C317" s="1050" t="s">
        <v>643</v>
      </c>
      <c r="D317" s="822"/>
      <c r="E317" s="822"/>
      <c r="F317" s="822"/>
      <c r="G317" s="822"/>
      <c r="H317" s="822"/>
    </row>
    <row r="318" spans="1:8" ht="12.75" x14ac:dyDescent="0.25">
      <c r="A318" s="820">
        <v>314</v>
      </c>
      <c r="B318" s="645" t="str">
        <f t="shared" si="4"/>
        <v>Reference efficiencies</v>
      </c>
      <c r="C318" s="645" t="s">
        <v>627</v>
      </c>
      <c r="D318" s="822"/>
      <c r="E318" s="822"/>
      <c r="F318" s="822"/>
      <c r="G318" s="822"/>
      <c r="H318" s="822"/>
    </row>
    <row r="319" spans="1:8" x14ac:dyDescent="0.25">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x14ac:dyDescent="0.25">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x14ac:dyDescent="0.25">
      <c r="A321" s="820">
        <v>317</v>
      </c>
      <c r="B321" s="647" t="str">
        <f t="shared" si="4"/>
        <v>Default efficiencies below are for hard coal CHPs producing electricity and hot water.</v>
      </c>
      <c r="C321" s="647" t="s">
        <v>4139</v>
      </c>
      <c r="D321" s="822"/>
      <c r="E321" s="822"/>
      <c r="F321" s="822"/>
      <c r="G321" s="822"/>
      <c r="H321" s="822"/>
    </row>
    <row r="322" spans="1:8" ht="12.75" x14ac:dyDescent="0.25">
      <c r="A322" s="820">
        <v>318</v>
      </c>
      <c r="B322" s="645" t="str">
        <f t="shared" si="4"/>
        <v>Emissions attributable to heat production from CHP</v>
      </c>
      <c r="C322" s="645" t="s">
        <v>4140</v>
      </c>
      <c r="D322" s="822"/>
      <c r="E322" s="822"/>
      <c r="F322" s="822"/>
      <c r="G322" s="822"/>
      <c r="H322" s="822"/>
    </row>
    <row r="323" spans="1:8" x14ac:dyDescent="0.25">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x14ac:dyDescent="0.25">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x14ac:dyDescent="0.25">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2.75" x14ac:dyDescent="0.2">
      <c r="A326" s="820">
        <v>322</v>
      </c>
      <c r="B326" s="1049" t="str">
        <f t="shared" ref="B326:B389" si="5">IFERROR(INDEX(C326:M326,$A$3-2),$C326)</f>
        <v>Emissions attributable to heat output</v>
      </c>
      <c r="C326" s="1049" t="s">
        <v>630</v>
      </c>
      <c r="D326" s="822"/>
      <c r="E326" s="822"/>
      <c r="F326" s="822"/>
      <c r="G326" s="822"/>
      <c r="H326" s="822"/>
    </row>
    <row r="327" spans="1:8" ht="12.75" x14ac:dyDescent="0.2">
      <c r="A327" s="820">
        <v>323</v>
      </c>
      <c r="B327" s="1049" t="str">
        <f t="shared" si="5"/>
        <v>Emission factor, heat</v>
      </c>
      <c r="C327" s="1049" t="s">
        <v>631</v>
      </c>
      <c r="D327" s="822"/>
      <c r="E327" s="822"/>
      <c r="F327" s="822"/>
      <c r="G327" s="822"/>
      <c r="H327" s="822"/>
    </row>
    <row r="328" spans="1:8" ht="12.75" x14ac:dyDescent="0.2">
      <c r="A328" s="820">
        <v>324</v>
      </c>
      <c r="B328" s="1049" t="str">
        <f t="shared" si="5"/>
        <v>Emissions attributable to electricity</v>
      </c>
      <c r="C328" s="1049" t="s">
        <v>2942</v>
      </c>
      <c r="D328" s="822"/>
      <c r="E328" s="822"/>
      <c r="F328" s="822"/>
      <c r="G328" s="822"/>
      <c r="H328" s="822"/>
    </row>
    <row r="329" spans="1:8" ht="12.75" x14ac:dyDescent="0.2">
      <c r="A329" s="820">
        <v>325</v>
      </c>
      <c r="B329" s="1049" t="str">
        <f t="shared" si="5"/>
        <v>Emission factor, electricity</v>
      </c>
      <c r="C329" s="1049" t="s">
        <v>2941</v>
      </c>
      <c r="D329" s="822"/>
      <c r="E329" s="822"/>
      <c r="F329" s="822"/>
      <c r="G329" s="822"/>
      <c r="H329" s="822"/>
    </row>
    <row r="330" spans="1:8" ht="12.75" x14ac:dyDescent="0.25">
      <c r="A330" s="820">
        <v>326</v>
      </c>
      <c r="B330" s="1050" t="str">
        <f t="shared" si="5"/>
        <v>Attributable emissions</v>
      </c>
      <c r="C330" s="1050" t="s">
        <v>644</v>
      </c>
      <c r="D330" s="822"/>
      <c r="E330" s="822"/>
      <c r="F330" s="822"/>
      <c r="G330" s="822"/>
      <c r="H330" s="822"/>
    </row>
    <row r="331" spans="1:8" ht="12.75" x14ac:dyDescent="0.25">
      <c r="A331" s="820">
        <v>327</v>
      </c>
      <c r="B331" s="645" t="str">
        <f t="shared" si="5"/>
        <v>Fuel input attributable to heat and electricity production</v>
      </c>
      <c r="C331" s="645" t="s">
        <v>632</v>
      </c>
      <c r="D331" s="822"/>
      <c r="E331" s="822"/>
      <c r="F331" s="822"/>
      <c r="G331" s="822"/>
      <c r="H331" s="822"/>
    </row>
    <row r="332" spans="1:8" x14ac:dyDescent="0.25">
      <c r="A332" s="820">
        <v>328</v>
      </c>
      <c r="B332" s="647" t="str">
        <f t="shared" si="5"/>
        <v>This is the final result of this tool. The values displayed here should be used in section C.1.</v>
      </c>
      <c r="C332" s="647" t="s">
        <v>2869</v>
      </c>
      <c r="D332" s="822"/>
      <c r="E332" s="822"/>
      <c r="F332" s="822"/>
      <c r="G332" s="822"/>
      <c r="H332" s="822"/>
    </row>
    <row r="333" spans="1:8" ht="12.75" x14ac:dyDescent="0.2">
      <c r="A333" s="820">
        <v>329</v>
      </c>
      <c r="B333" s="1049" t="str">
        <f t="shared" si="5"/>
        <v>Fuel input for heat</v>
      </c>
      <c r="C333" s="1049" t="s">
        <v>633</v>
      </c>
      <c r="D333" s="822"/>
      <c r="E333" s="822"/>
      <c r="F333" s="822"/>
      <c r="G333" s="822"/>
      <c r="H333" s="822"/>
    </row>
    <row r="334" spans="1:8" ht="12.75" x14ac:dyDescent="0.2">
      <c r="A334" s="820">
        <v>330</v>
      </c>
      <c r="B334" s="1049" t="str">
        <f t="shared" si="5"/>
        <v>Fuel input for electricity</v>
      </c>
      <c r="C334" s="1049" t="s">
        <v>634</v>
      </c>
      <c r="D334" s="822"/>
      <c r="E334" s="822"/>
      <c r="F334" s="822"/>
      <c r="G334" s="822"/>
      <c r="H334" s="822"/>
    </row>
    <row r="335" spans="1:8" ht="12.75" x14ac:dyDescent="0.25">
      <c r="A335" s="820">
        <v>331</v>
      </c>
      <c r="B335" s="1050" t="str">
        <f t="shared" si="5"/>
        <v>Attributable fuel input</v>
      </c>
      <c r="C335" s="1050" t="s">
        <v>645</v>
      </c>
      <c r="D335" s="822"/>
      <c r="E335" s="822"/>
      <c r="F335" s="822"/>
      <c r="G335" s="822"/>
      <c r="H335" s="822"/>
    </row>
    <row r="336" spans="1:8" ht="15.75" x14ac:dyDescent="0.25">
      <c r="A336" s="820">
        <v>332</v>
      </c>
      <c r="B336" s="311" t="str">
        <f t="shared" si="5"/>
        <v>Tool to calculate the carbon price due</v>
      </c>
      <c r="C336" s="311" t="s">
        <v>3028</v>
      </c>
      <c r="D336" s="822"/>
      <c r="E336" s="822"/>
      <c r="F336" s="822"/>
      <c r="G336" s="822"/>
      <c r="H336" s="822"/>
    </row>
    <row r="337" spans="1:8" ht="12.75" x14ac:dyDescent="0.25">
      <c r="A337" s="820">
        <v>333</v>
      </c>
      <c r="B337" s="157" t="str">
        <f t="shared" si="5"/>
        <v>Tool for carbon price due</v>
      </c>
      <c r="C337" s="157" t="s">
        <v>3022</v>
      </c>
      <c r="D337" s="822"/>
      <c r="E337" s="822"/>
      <c r="F337" s="822"/>
      <c r="G337" s="822"/>
      <c r="H337" s="822"/>
    </row>
    <row r="338" spans="1:8" x14ac:dyDescent="0.25">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x14ac:dyDescent="0.25">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x14ac:dyDescent="0.25">
      <c r="A340" s="820">
        <v>336</v>
      </c>
      <c r="B340" s="644" t="str">
        <f t="shared" si="5"/>
        <v>The following conditions apply:</v>
      </c>
      <c r="C340" s="644" t="s">
        <v>2921</v>
      </c>
      <c r="D340" s="822"/>
      <c r="E340" s="822"/>
      <c r="F340" s="822"/>
      <c r="G340" s="822"/>
      <c r="H340" s="822"/>
    </row>
    <row r="341" spans="1:8" x14ac:dyDescent="0.25">
      <c r="A341" s="820">
        <v>337</v>
      </c>
      <c r="B341" s="649" t="str">
        <f t="shared" si="5"/>
        <v>- the carbon price used for each production process has to be converted into one common currency.</v>
      </c>
      <c r="C341" s="649" t="s">
        <v>2923</v>
      </c>
      <c r="D341" s="822"/>
      <c r="E341" s="822"/>
      <c r="F341" s="822"/>
      <c r="G341" s="822"/>
      <c r="H341" s="822"/>
    </row>
    <row r="342" spans="1:8" x14ac:dyDescent="0.25">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x14ac:dyDescent="0.25">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x14ac:dyDescent="0.25">
      <c r="A344" s="820">
        <v>340</v>
      </c>
      <c r="B344" s="650" t="str">
        <f t="shared" si="5"/>
        <v>SEE (total)</v>
      </c>
      <c r="C344" s="650" t="s">
        <v>184</v>
      </c>
      <c r="D344" s="822"/>
      <c r="E344" s="822"/>
      <c r="F344" s="822"/>
      <c r="G344" s="822"/>
      <c r="H344" s="822"/>
    </row>
    <row r="345" spans="1:8" x14ac:dyDescent="0.25">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x14ac:dyDescent="0.25">
      <c r="A346" s="820">
        <v>342</v>
      </c>
      <c r="B346" s="651" t="str">
        <f t="shared" si="5"/>
        <v>Share of emissions covered by the carbon price</v>
      </c>
      <c r="C346" s="651" t="s">
        <v>3030</v>
      </c>
      <c r="D346" s="822"/>
      <c r="E346" s="822"/>
      <c r="F346" s="822"/>
      <c r="G346" s="822"/>
      <c r="H346" s="822"/>
    </row>
    <row r="347" spans="1:8" x14ac:dyDescent="0.25">
      <c r="A347" s="820">
        <v>343</v>
      </c>
      <c r="B347" s="651" t="str">
        <f t="shared" si="5"/>
        <v>Carbon price (CP) due (per produced t or MWh)</v>
      </c>
      <c r="C347" s="651" t="s">
        <v>4207</v>
      </c>
      <c r="D347" s="822"/>
      <c r="E347" s="822"/>
      <c r="F347" s="822"/>
      <c r="G347" s="822"/>
      <c r="H347" s="822"/>
    </row>
    <row r="348" spans="1:8" x14ac:dyDescent="0.25">
      <c r="A348" s="820">
        <v>344</v>
      </c>
      <c r="B348" s="652" t="str">
        <f t="shared" si="5"/>
        <v>Amount of rebate (local currency)</v>
      </c>
      <c r="C348" s="652" t="s">
        <v>3031</v>
      </c>
      <c r="D348" s="822"/>
      <c r="E348" s="822"/>
      <c r="F348" s="822"/>
      <c r="G348" s="822"/>
      <c r="H348" s="822"/>
    </row>
    <row r="349" spans="1:8" x14ac:dyDescent="0.2">
      <c r="A349" s="820">
        <v>345</v>
      </c>
      <c r="B349" s="872" t="str">
        <f t="shared" si="5"/>
        <v>Covered SEE</v>
      </c>
      <c r="C349" s="872" t="s">
        <v>606</v>
      </c>
      <c r="D349" s="822"/>
      <c r="E349" s="822"/>
      <c r="F349" s="822"/>
      <c r="G349" s="822"/>
      <c r="H349" s="822"/>
    </row>
    <row r="350" spans="1:8" x14ac:dyDescent="0.2">
      <c r="A350" s="820">
        <v>346</v>
      </c>
      <c r="B350" s="872" t="str">
        <f t="shared" si="5"/>
        <v>Carbon price (CP) due (local currency)</v>
      </c>
      <c r="C350" s="872" t="s">
        <v>3035</v>
      </c>
      <c r="D350" s="822"/>
      <c r="E350" s="822"/>
      <c r="F350" s="822"/>
      <c r="G350" s="822"/>
      <c r="H350" s="822"/>
    </row>
    <row r="351" spans="1:8" x14ac:dyDescent="0.2">
      <c r="A351" s="820">
        <v>347</v>
      </c>
      <c r="B351" s="872" t="str">
        <f t="shared" si="5"/>
        <v>CP due (per produced t or MWh)</v>
      </c>
      <c r="C351" s="872" t="s">
        <v>4205</v>
      </c>
      <c r="D351" s="822"/>
      <c r="E351" s="822"/>
      <c r="F351" s="822"/>
      <c r="G351" s="822"/>
      <c r="H351" s="822"/>
    </row>
    <row r="352" spans="1:8" x14ac:dyDescent="0.2">
      <c r="A352" s="820">
        <v>348</v>
      </c>
      <c r="B352" s="872" t="str">
        <f t="shared" si="5"/>
        <v>Rebate (per produced t or MWh)</v>
      </c>
      <c r="C352" s="872" t="s">
        <v>4206</v>
      </c>
      <c r="D352" s="822"/>
      <c r="E352" s="822"/>
      <c r="F352" s="822"/>
      <c r="G352" s="822"/>
      <c r="H352" s="822"/>
    </row>
    <row r="353" spans="1:8" ht="12.75" thickBot="1" x14ac:dyDescent="0.25">
      <c r="A353" s="820">
        <v>349</v>
      </c>
      <c r="B353" s="1052" t="str">
        <f t="shared" si="5"/>
        <v>Result: Effective CP due (per produced t or MWh)</v>
      </c>
      <c r="C353" s="1052" t="s">
        <v>4209</v>
      </c>
      <c r="D353" s="822"/>
      <c r="E353" s="822"/>
      <c r="F353" s="822"/>
      <c r="G353" s="822"/>
      <c r="H353" s="822"/>
    </row>
    <row r="354" spans="1:8" ht="12.75" x14ac:dyDescent="0.25">
      <c r="A354" s="820">
        <v>350</v>
      </c>
      <c r="B354" s="1004" t="str">
        <f t="shared" si="5"/>
        <v>Further Guidance</v>
      </c>
      <c r="C354" s="1004" t="s">
        <v>2834</v>
      </c>
      <c r="D354" s="822"/>
      <c r="E354" s="822"/>
      <c r="F354" s="822"/>
      <c r="G354" s="822"/>
      <c r="H354" s="822"/>
    </row>
    <row r="355" spans="1:8" ht="18" x14ac:dyDescent="0.25">
      <c r="A355" s="820">
        <v>351</v>
      </c>
      <c r="B355" s="312" t="str">
        <f t="shared" si="5"/>
        <v>Sheet "G_FurtherGuidance" - Further guidance on specific sections in this template</v>
      </c>
      <c r="C355" s="312" t="s">
        <v>2835</v>
      </c>
      <c r="D355" s="822"/>
      <c r="E355" s="822"/>
      <c r="F355" s="822"/>
      <c r="G355" s="822"/>
      <c r="H355" s="822"/>
    </row>
    <row r="356" spans="1:8" ht="15.75" x14ac:dyDescent="0.25">
      <c r="A356" s="820">
        <v>352</v>
      </c>
      <c r="B356" s="311" t="str">
        <f t="shared" si="5"/>
        <v>General guidance</v>
      </c>
      <c r="C356" s="311" t="s">
        <v>2808</v>
      </c>
      <c r="D356" s="822"/>
      <c r="E356" s="822"/>
      <c r="F356" s="822"/>
      <c r="G356" s="822"/>
      <c r="H356" s="822"/>
    </row>
    <row r="357" spans="1:8" x14ac:dyDescent="0.25">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x14ac:dyDescent="0.25">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x14ac:dyDescent="0.25">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x14ac:dyDescent="0.25">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x14ac:dyDescent="0.25">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x14ac:dyDescent="0.25">
      <c r="A362" s="820">
        <v>358</v>
      </c>
      <c r="B362" s="644" t="str">
        <f t="shared" si="5"/>
        <v>Guidance on each parameter below aims to help you with filling all input fields in sheet "B_EmInst".</v>
      </c>
      <c r="C362" s="644" t="s">
        <v>2865</v>
      </c>
      <c r="D362" s="822"/>
      <c r="E362" s="822"/>
      <c r="F362" s="822"/>
      <c r="G362" s="822"/>
      <c r="H362" s="822"/>
    </row>
    <row r="363" spans="1:8" x14ac:dyDescent="0.2">
      <c r="A363" s="820">
        <v>359</v>
      </c>
      <c r="B363" s="1053" t="str">
        <f t="shared" si="5"/>
        <v>Source streams (excluding PFC emissions)</v>
      </c>
      <c r="C363" s="1053" t="s">
        <v>2846</v>
      </c>
      <c r="D363" s="822"/>
      <c r="E363" s="822"/>
      <c r="F363" s="822"/>
      <c r="G363" s="822"/>
      <c r="H363" s="822"/>
    </row>
    <row r="364" spans="1:8" x14ac:dyDescent="0.25">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x14ac:dyDescent="0.25">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x14ac:dyDescent="0.25">
      <c r="A366" s="820">
        <v>362</v>
      </c>
      <c r="B366" s="651" t="str">
        <f t="shared" si="5"/>
        <v>Activity data (AD)</v>
      </c>
      <c r="C366" s="651" t="s">
        <v>2838</v>
      </c>
      <c r="D366" s="822"/>
      <c r="E366" s="822"/>
      <c r="F366" s="822"/>
      <c r="G366" s="822"/>
      <c r="H366" s="822"/>
    </row>
    <row r="367" spans="1:8" x14ac:dyDescent="0.25">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x14ac:dyDescent="0.25">
      <c r="A368" s="820">
        <v>364</v>
      </c>
      <c r="B368" s="651" t="str">
        <f t="shared" si="5"/>
        <v>AD unit</v>
      </c>
      <c r="C368" s="651" t="s">
        <v>2839</v>
      </c>
      <c r="D368" s="822"/>
      <c r="E368" s="822"/>
      <c r="F368" s="822"/>
      <c r="G368" s="822"/>
      <c r="H368" s="822"/>
    </row>
    <row r="369" spans="1:8" x14ac:dyDescent="0.25">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x14ac:dyDescent="0.25">
      <c r="A370" s="820">
        <v>366</v>
      </c>
      <c r="B370" s="651" t="str">
        <f t="shared" si="5"/>
        <v>(prelim) EF</v>
      </c>
      <c r="C370" s="651" t="s">
        <v>2840</v>
      </c>
      <c r="D370" s="822"/>
      <c r="E370" s="822"/>
      <c r="F370" s="822"/>
      <c r="G370" s="822"/>
      <c r="H370" s="822"/>
    </row>
    <row r="371" spans="1:8" x14ac:dyDescent="0.25">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x14ac:dyDescent="0.25">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x14ac:dyDescent="0.25">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x14ac:dyDescent="0.25">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x14ac:dyDescent="0.25">
      <c r="A375" s="820">
        <v>371</v>
      </c>
      <c r="B375" s="651" t="str">
        <f t="shared" si="5"/>
        <v>CarbC</v>
      </c>
      <c r="C375" s="651" t="s">
        <v>2841</v>
      </c>
      <c r="D375" s="822"/>
      <c r="E375" s="822"/>
      <c r="F375" s="822"/>
      <c r="G375" s="822"/>
      <c r="H375" s="822"/>
    </row>
    <row r="376" spans="1:8" x14ac:dyDescent="0.25">
      <c r="A376" s="820">
        <v>372</v>
      </c>
      <c r="B376" s="651" t="str">
        <f t="shared" si="5"/>
        <v>The carbon content of the fuel or material.</v>
      </c>
      <c r="C376" s="651" t="s">
        <v>4147</v>
      </c>
      <c r="D376" s="822"/>
      <c r="E376" s="822"/>
      <c r="F376" s="822"/>
      <c r="G376" s="822"/>
      <c r="H376" s="822"/>
    </row>
    <row r="377" spans="1:8" x14ac:dyDescent="0.25">
      <c r="A377" s="820">
        <v>373</v>
      </c>
      <c r="B377" s="651" t="str">
        <f t="shared" si="5"/>
        <v>BioC</v>
      </c>
      <c r="C377" s="651" t="s">
        <v>2842</v>
      </c>
      <c r="D377" s="822"/>
      <c r="E377" s="822"/>
      <c r="F377" s="822"/>
      <c r="G377" s="822"/>
      <c r="H377" s="822"/>
    </row>
    <row r="378" spans="1:8" x14ac:dyDescent="0.25">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x14ac:dyDescent="0.25">
      <c r="A379" s="820">
        <v>375</v>
      </c>
      <c r="B379" s="651" t="str">
        <f t="shared" si="5"/>
        <v>Further columns greyed out</v>
      </c>
      <c r="C379" s="651" t="s">
        <v>2843</v>
      </c>
      <c r="D379" s="822"/>
      <c r="E379" s="822"/>
      <c r="F379" s="822"/>
      <c r="G379" s="822"/>
      <c r="H379" s="822"/>
    </row>
    <row r="380" spans="1:8" x14ac:dyDescent="0.25">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x14ac:dyDescent="0.25">
      <c r="A381" s="820">
        <v>377</v>
      </c>
      <c r="B381" s="651" t="str">
        <f t="shared" si="5"/>
        <v>Energy and emissions</v>
      </c>
      <c r="C381" s="651" t="s">
        <v>2844</v>
      </c>
      <c r="D381" s="822"/>
      <c r="E381" s="822"/>
      <c r="F381" s="822"/>
      <c r="G381" s="822"/>
      <c r="H381" s="822"/>
    </row>
    <row r="382" spans="1:8" x14ac:dyDescent="0.25">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x14ac:dyDescent="0.2">
      <c r="A383" s="820">
        <v>379</v>
      </c>
      <c r="B383" s="1053" t="str">
        <f t="shared" si="5"/>
        <v>PFC emissions</v>
      </c>
      <c r="C383" s="1053" t="s">
        <v>230</v>
      </c>
      <c r="D383" s="822"/>
      <c r="E383" s="822"/>
      <c r="F383" s="822"/>
      <c r="G383" s="822"/>
      <c r="H383" s="822"/>
    </row>
    <row r="384" spans="1:8" x14ac:dyDescent="0.25">
      <c r="A384" s="820">
        <v>380</v>
      </c>
      <c r="B384" s="651" t="str">
        <f t="shared" si="5"/>
        <v>Please select from the drop-down list the monitoring method applied: "slope" (Method A) or "overvoltage" (Method B).</v>
      </c>
      <c r="C384" s="651" t="s">
        <v>3019</v>
      </c>
      <c r="D384" s="822"/>
      <c r="E384" s="822"/>
      <c r="F384" s="822"/>
      <c r="G384" s="822"/>
      <c r="H384" s="822"/>
    </row>
    <row r="385" spans="1:8" x14ac:dyDescent="0.25">
      <c r="A385" s="820">
        <v>381</v>
      </c>
      <c r="B385" s="651" t="str">
        <f t="shared" si="5"/>
        <v>Please provide here the type of anode such as Centre Worked Pre-Bake (CWPB), Vertical Stud Søderberg (VSS), etc.</v>
      </c>
      <c r="C385" s="651" t="s">
        <v>4149</v>
      </c>
      <c r="D385" s="822"/>
      <c r="E385" s="822"/>
      <c r="F385" s="822"/>
      <c r="G385" s="822"/>
      <c r="H385" s="822"/>
    </row>
    <row r="386" spans="1:8" x14ac:dyDescent="0.25">
      <c r="A386" s="820">
        <v>382</v>
      </c>
      <c r="B386" s="651" t="str">
        <f t="shared" si="5"/>
        <v>Activity data = annual production of primary Aluminium</v>
      </c>
      <c r="C386" s="651" t="s">
        <v>2848</v>
      </c>
      <c r="D386" s="822"/>
      <c r="E386" s="822"/>
      <c r="F386" s="822"/>
      <c r="G386" s="822"/>
      <c r="H386" s="822"/>
    </row>
    <row r="387" spans="1:8" x14ac:dyDescent="0.25">
      <c r="A387" s="820">
        <v>383</v>
      </c>
      <c r="B387" s="651" t="str">
        <f t="shared" si="5"/>
        <v>Method A: The frequency of anode effects (number of anode effects/cell-day)</v>
      </c>
      <c r="C387" s="651" t="s">
        <v>3017</v>
      </c>
      <c r="D387" s="822"/>
      <c r="E387" s="822"/>
      <c r="F387" s="822"/>
      <c r="G387" s="822"/>
      <c r="H387" s="822"/>
    </row>
    <row r="388" spans="1:8" x14ac:dyDescent="0.25">
      <c r="A388" s="820">
        <v>384</v>
      </c>
      <c r="B388" s="651" t="str">
        <f t="shared" si="5"/>
        <v>Method A: The average duration of anode effects (anode effect minutes/occurrence)</v>
      </c>
      <c r="C388" s="651" t="s">
        <v>3018</v>
      </c>
      <c r="D388" s="822"/>
      <c r="E388" s="822"/>
      <c r="F388" s="822"/>
      <c r="G388" s="822"/>
      <c r="H388" s="822"/>
    </row>
    <row r="389" spans="1:8" x14ac:dyDescent="0.25">
      <c r="A389" s="820">
        <v>385</v>
      </c>
      <c r="B389" s="651" t="str">
        <f t="shared" si="5"/>
        <v>Method A: The slope emission factor</v>
      </c>
      <c r="C389" s="651" t="s">
        <v>4150</v>
      </c>
      <c r="D389" s="822"/>
      <c r="E389" s="822"/>
      <c r="F389" s="822"/>
      <c r="G389" s="822"/>
      <c r="H389" s="822"/>
    </row>
    <row r="390" spans="1:8" x14ac:dyDescent="0.25">
      <c r="A390" s="820">
        <v>386</v>
      </c>
      <c r="B390" s="651" t="str">
        <f t="shared" ref="B390:B453" si="6">IFERROR(INDEX(C390:M390,$A$3-2),$C390)</f>
        <v>Method B: The anode effect overvoltage per cell</v>
      </c>
      <c r="C390" s="651" t="s">
        <v>4151</v>
      </c>
      <c r="D390" s="822"/>
      <c r="E390" s="822"/>
      <c r="F390" s="822"/>
      <c r="G390" s="822"/>
      <c r="H390" s="822"/>
    </row>
    <row r="391" spans="1:8" x14ac:dyDescent="0.25">
      <c r="A391" s="820">
        <v>387</v>
      </c>
      <c r="B391" s="651" t="str">
        <f t="shared" si="6"/>
        <v>Method B: The average current efficiency</v>
      </c>
      <c r="C391" s="651" t="s">
        <v>4152</v>
      </c>
      <c r="D391" s="822"/>
      <c r="E391" s="822"/>
      <c r="F391" s="822"/>
      <c r="G391" s="822"/>
      <c r="H391" s="822"/>
    </row>
    <row r="392" spans="1:8" x14ac:dyDescent="0.25">
      <c r="A392" s="820">
        <v>388</v>
      </c>
      <c r="B392" s="651" t="str">
        <f t="shared" si="6"/>
        <v>Method B: The overvoltage coefficient (‘emission factor’)</v>
      </c>
      <c r="C392" s="651" t="s">
        <v>4153</v>
      </c>
      <c r="D392" s="822"/>
      <c r="E392" s="822"/>
      <c r="F392" s="822"/>
      <c r="G392" s="822"/>
      <c r="H392" s="822"/>
    </row>
    <row r="393" spans="1:8" x14ac:dyDescent="0.25">
      <c r="A393" s="820">
        <v>389</v>
      </c>
      <c r="B393" s="651" t="str">
        <f t="shared" si="6"/>
        <v>The weight fraction of C2F6</v>
      </c>
      <c r="C393" s="651" t="s">
        <v>4154</v>
      </c>
      <c r="D393" s="822"/>
      <c r="E393" s="822"/>
      <c r="F393" s="822"/>
      <c r="G393" s="822"/>
      <c r="H393" s="822"/>
    </row>
    <row r="394" spans="1:8" x14ac:dyDescent="0.25">
      <c r="A394" s="820">
        <v>390</v>
      </c>
      <c r="B394" s="651" t="str">
        <f t="shared" si="6"/>
        <v>GWP (CF4)</v>
      </c>
      <c r="C394" s="651" t="s">
        <v>2849</v>
      </c>
      <c r="D394" s="822"/>
      <c r="E394" s="822"/>
      <c r="F394" s="822"/>
      <c r="G394" s="822"/>
      <c r="H394" s="822"/>
    </row>
    <row r="395" spans="1:8" x14ac:dyDescent="0.25">
      <c r="A395" s="820">
        <v>391</v>
      </c>
      <c r="B395" s="651" t="str">
        <f t="shared" si="6"/>
        <v>The global warming potential of CF4</v>
      </c>
      <c r="C395" s="651" t="s">
        <v>2850</v>
      </c>
      <c r="D395" s="822"/>
      <c r="E395" s="822"/>
      <c r="F395" s="822"/>
      <c r="G395" s="822"/>
      <c r="H395" s="822"/>
    </row>
    <row r="396" spans="1:8" x14ac:dyDescent="0.25">
      <c r="A396" s="820">
        <v>392</v>
      </c>
      <c r="B396" s="651" t="str">
        <f t="shared" si="6"/>
        <v>GWP (C2F6)</v>
      </c>
      <c r="C396" s="651" t="s">
        <v>2851</v>
      </c>
      <c r="D396" s="822"/>
      <c r="E396" s="822"/>
      <c r="F396" s="822"/>
      <c r="G396" s="822"/>
      <c r="H396" s="822"/>
    </row>
    <row r="397" spans="1:8" x14ac:dyDescent="0.25">
      <c r="A397" s="820">
        <v>393</v>
      </c>
      <c r="B397" s="651" t="str">
        <f t="shared" si="6"/>
        <v>The global warming potential of C2F6</v>
      </c>
      <c r="C397" s="651" t="s">
        <v>2852</v>
      </c>
      <c r="D397" s="822"/>
      <c r="E397" s="822"/>
      <c r="F397" s="822"/>
      <c r="G397" s="822"/>
      <c r="H397" s="822"/>
    </row>
    <row r="398" spans="1:8" x14ac:dyDescent="0.25">
      <c r="A398" s="820">
        <v>394</v>
      </c>
      <c r="B398" s="651" t="str">
        <f t="shared" si="6"/>
        <v>Collection efficiency</v>
      </c>
      <c r="C398" s="651" t="s">
        <v>2854</v>
      </c>
      <c r="D398" s="822"/>
      <c r="E398" s="822"/>
      <c r="F398" s="822"/>
      <c r="G398" s="822"/>
      <c r="H398" s="822"/>
    </row>
    <row r="399" spans="1:8" x14ac:dyDescent="0.25">
      <c r="A399" s="820">
        <v>395</v>
      </c>
      <c r="B399" s="651" t="str">
        <f t="shared" si="6"/>
        <v>Efficiency of the collection of the fugitive PFC emissions</v>
      </c>
      <c r="C399" s="651" t="s">
        <v>4155</v>
      </c>
      <c r="D399" s="822"/>
      <c r="E399" s="822"/>
      <c r="F399" s="822"/>
      <c r="G399" s="822"/>
      <c r="H399" s="822"/>
    </row>
    <row r="400" spans="1:8" x14ac:dyDescent="0.2">
      <c r="A400" s="820">
        <v>396</v>
      </c>
      <c r="B400" s="1053" t="str">
        <f t="shared" si="6"/>
        <v>Emission sources | Measurement-based approaches (continuous emission monitoring)</v>
      </c>
      <c r="C400" s="1053" t="s">
        <v>2853</v>
      </c>
      <c r="D400" s="822"/>
      <c r="E400" s="822"/>
      <c r="F400" s="822"/>
      <c r="G400" s="822"/>
      <c r="H400" s="822"/>
    </row>
    <row r="401" spans="1:8" x14ac:dyDescent="0.25">
      <c r="A401" s="820">
        <v>397</v>
      </c>
      <c r="B401" s="651" t="str">
        <f t="shared" si="6"/>
        <v>Please enter here a name for the emission source or the point of emission, e.g. Stack xyz.</v>
      </c>
      <c r="C401" s="651" t="s">
        <v>2856</v>
      </c>
      <c r="D401" s="822"/>
      <c r="E401" s="822"/>
      <c r="F401" s="822"/>
      <c r="G401" s="822"/>
      <c r="H401" s="822"/>
    </row>
    <row r="402" spans="1:8" x14ac:dyDescent="0.25">
      <c r="A402" s="820">
        <v>398</v>
      </c>
      <c r="B402" s="651" t="str">
        <f t="shared" si="6"/>
        <v>Please provide here the type of greenhouse gas (GHG) measured in the flue gas: CO2 or N2O.</v>
      </c>
      <c r="C402" s="651" t="s">
        <v>2855</v>
      </c>
      <c r="D402" s="822"/>
      <c r="E402" s="822"/>
      <c r="F402" s="822"/>
      <c r="G402" s="822"/>
      <c r="H402" s="822"/>
    </row>
    <row r="403" spans="1:8" x14ac:dyDescent="0.25">
      <c r="A403" s="820">
        <v>399</v>
      </c>
      <c r="B403" s="651" t="str">
        <f t="shared" si="6"/>
        <v xml:space="preserve">hourly average GHG conc. </v>
      </c>
      <c r="C403" s="651" t="s">
        <v>2859</v>
      </c>
      <c r="D403" s="822"/>
      <c r="E403" s="822"/>
      <c r="F403" s="822"/>
      <c r="G403" s="822"/>
      <c r="H403" s="822"/>
    </row>
    <row r="404" spans="1:8" x14ac:dyDescent="0.25">
      <c r="A404" s="820">
        <v>400</v>
      </c>
      <c r="B404" s="651" t="str">
        <f t="shared" si="6"/>
        <v>The weighted average hourly concentration of the GHG measured (g per Nm³)</v>
      </c>
      <c r="C404" s="651" t="s">
        <v>4156</v>
      </c>
      <c r="D404" s="822"/>
      <c r="E404" s="822"/>
      <c r="F404" s="822"/>
      <c r="G404" s="822"/>
      <c r="H404" s="822"/>
    </row>
    <row r="405" spans="1:8" x14ac:dyDescent="0.25">
      <c r="A405" s="820">
        <v>401</v>
      </c>
      <c r="B405" s="651" t="str">
        <f t="shared" si="6"/>
        <v>Hours operating</v>
      </c>
      <c r="C405" s="651" t="s">
        <v>4157</v>
      </c>
      <c r="D405" s="822"/>
      <c r="E405" s="822"/>
      <c r="F405" s="822"/>
      <c r="G405" s="822"/>
      <c r="H405" s="822"/>
    </row>
    <row r="406" spans="1:8" x14ac:dyDescent="0.25">
      <c r="A406" s="820">
        <v>402</v>
      </c>
      <c r="B406" s="651" t="str">
        <f t="shared" si="6"/>
        <v>The total hours of operation of the production process</v>
      </c>
      <c r="C406" s="651" t="s">
        <v>4158</v>
      </c>
      <c r="D406" s="822"/>
      <c r="E406" s="822"/>
      <c r="F406" s="822"/>
      <c r="G406" s="822"/>
      <c r="H406" s="822"/>
    </row>
    <row r="407" spans="1:8" x14ac:dyDescent="0.25">
      <c r="A407" s="820">
        <v>403</v>
      </c>
      <c r="B407" s="651" t="str">
        <f t="shared" si="6"/>
        <v>Flue gas</v>
      </c>
      <c r="C407" s="651" t="s">
        <v>2858</v>
      </c>
      <c r="D407" s="822"/>
      <c r="E407" s="822"/>
      <c r="F407" s="822"/>
      <c r="G407" s="822"/>
      <c r="H407" s="822"/>
    </row>
    <row r="408" spans="1:8" x14ac:dyDescent="0.25">
      <c r="A408" s="820">
        <v>404</v>
      </c>
      <c r="B408" s="651" t="str">
        <f t="shared" si="6"/>
        <v>The total volume of the flue gas</v>
      </c>
      <c r="C408" s="651" t="s">
        <v>2861</v>
      </c>
      <c r="D408" s="822"/>
      <c r="E408" s="822"/>
      <c r="F408" s="822"/>
      <c r="G408" s="822"/>
      <c r="H408" s="822"/>
    </row>
    <row r="409" spans="1:8" x14ac:dyDescent="0.25">
      <c r="A409" s="820">
        <v>405</v>
      </c>
      <c r="B409" s="652" t="str">
        <f t="shared" si="6"/>
        <v>Energy content</v>
      </c>
      <c r="C409" s="652" t="s">
        <v>2860</v>
      </c>
      <c r="D409" s="822"/>
      <c r="E409" s="822"/>
      <c r="F409" s="822"/>
      <c r="G409" s="822"/>
      <c r="H409" s="822"/>
    </row>
    <row r="410" spans="1:8" x14ac:dyDescent="0.25">
      <c r="A410" s="820">
        <v>406</v>
      </c>
      <c r="B410" s="652" t="str">
        <f t="shared" si="6"/>
        <v>The energy content of the fuels or materials entering the production process</v>
      </c>
      <c r="C410" s="652" t="s">
        <v>2862</v>
      </c>
      <c r="D410" s="822"/>
      <c r="E410" s="822"/>
      <c r="F410" s="822"/>
      <c r="G410" s="822"/>
      <c r="H410" s="822"/>
    </row>
    <row r="411" spans="1:8" ht="15.75" x14ac:dyDescent="0.25">
      <c r="A411" s="820">
        <v>407</v>
      </c>
      <c r="B411" s="311" t="str">
        <f t="shared" si="6"/>
        <v>Attribution of emissions to production processes</v>
      </c>
      <c r="C411" s="311" t="s">
        <v>2767</v>
      </c>
      <c r="D411" s="822"/>
      <c r="E411" s="822"/>
      <c r="F411" s="822"/>
      <c r="G411" s="822"/>
      <c r="H411" s="822"/>
    </row>
    <row r="412" spans="1:8" x14ac:dyDescent="0.25">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x14ac:dyDescent="0.25">
      <c r="A413" s="820">
        <v>409</v>
      </c>
      <c r="B413" s="644" t="str">
        <f t="shared" si="6"/>
        <v>Entries in sheet "E_PurchPrec" require similar entries. Further guidance is provided there.</v>
      </c>
      <c r="C413" s="644" t="s">
        <v>2925</v>
      </c>
      <c r="D413" s="822"/>
      <c r="E413" s="822"/>
      <c r="F413" s="822"/>
      <c r="G413" s="822"/>
      <c r="H413" s="822"/>
    </row>
    <row r="414" spans="1:8" ht="12.75" x14ac:dyDescent="0.25">
      <c r="A414" s="820">
        <v>410</v>
      </c>
      <c r="B414" s="636" t="str">
        <f t="shared" si="6"/>
        <v>a)</v>
      </c>
      <c r="C414" s="636" t="s">
        <v>2870</v>
      </c>
      <c r="D414" s="822"/>
      <c r="E414" s="822"/>
      <c r="F414" s="822"/>
      <c r="G414" s="822"/>
      <c r="H414" s="822"/>
    </row>
    <row r="415" spans="1:8" x14ac:dyDescent="0.25">
      <c r="A415" s="820">
        <v>411</v>
      </c>
      <c r="B415" s="654" t="str">
        <f t="shared" si="6"/>
        <v>Total production</v>
      </c>
      <c r="C415" s="654" t="s">
        <v>2892</v>
      </c>
      <c r="D415" s="822"/>
      <c r="E415" s="822"/>
      <c r="F415" s="822"/>
      <c r="G415" s="822"/>
      <c r="H415" s="822"/>
    </row>
    <row r="416" spans="1:8" x14ac:dyDescent="0.25">
      <c r="A416" s="820">
        <v>412</v>
      </c>
      <c r="B416" s="655" t="str">
        <f t="shared" si="6"/>
        <v>SEE Denominator</v>
      </c>
      <c r="C416" s="655" t="s">
        <v>2955</v>
      </c>
      <c r="D416" s="822"/>
      <c r="E416" s="822"/>
      <c r="F416" s="822"/>
      <c r="G416" s="822"/>
      <c r="H416" s="822"/>
    </row>
    <row r="417" spans="1:8" x14ac:dyDescent="0.25">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2.75" x14ac:dyDescent="0.25">
      <c r="A418" s="820">
        <v>414</v>
      </c>
      <c r="B418" s="636" t="str">
        <f t="shared" si="6"/>
        <v>b)</v>
      </c>
      <c r="C418" s="636" t="s">
        <v>2871</v>
      </c>
      <c r="D418" s="822"/>
      <c r="E418" s="822"/>
      <c r="F418" s="822"/>
      <c r="G418" s="822"/>
      <c r="H418" s="822"/>
    </row>
    <row r="419" spans="1:8" x14ac:dyDescent="0.25">
      <c r="A419" s="820">
        <v>415</v>
      </c>
      <c r="B419" s="656" t="str">
        <f t="shared" si="6"/>
        <v>Production for the market</v>
      </c>
      <c r="C419" s="656" t="s">
        <v>2893</v>
      </c>
      <c r="D419" s="822"/>
      <c r="E419" s="822"/>
      <c r="F419" s="822"/>
      <c r="G419" s="822"/>
      <c r="H419" s="822"/>
    </row>
    <row r="420" spans="1:8" x14ac:dyDescent="0.25">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2.75" x14ac:dyDescent="0.25">
      <c r="A421" s="820">
        <v>417</v>
      </c>
      <c r="B421" s="636" t="str">
        <f t="shared" si="6"/>
        <v>c)</v>
      </c>
      <c r="C421" s="636" t="s">
        <v>2872</v>
      </c>
      <c r="D421" s="822"/>
      <c r="E421" s="822"/>
      <c r="F421" s="822"/>
      <c r="G421" s="822"/>
      <c r="H421" s="822"/>
    </row>
    <row r="422" spans="1:8" x14ac:dyDescent="0.25">
      <c r="A422" s="820">
        <v>418</v>
      </c>
      <c r="B422" s="656" t="str">
        <f t="shared" si="6"/>
        <v>Consumed in other 'production processes'</v>
      </c>
      <c r="C422" s="656" t="s">
        <v>2895</v>
      </c>
      <c r="D422" s="822"/>
      <c r="E422" s="822"/>
      <c r="F422" s="822"/>
      <c r="G422" s="822"/>
      <c r="H422" s="822"/>
    </row>
    <row r="423" spans="1:8" x14ac:dyDescent="0.25">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2.75" x14ac:dyDescent="0.25">
      <c r="A424" s="820">
        <v>420</v>
      </c>
      <c r="B424" s="636" t="str">
        <f t="shared" si="6"/>
        <v>d)</v>
      </c>
      <c r="C424" s="636" t="s">
        <v>2873</v>
      </c>
      <c r="D424" s="822"/>
      <c r="E424" s="822"/>
      <c r="F424" s="822"/>
      <c r="G424" s="822"/>
      <c r="H424" s="822"/>
    </row>
    <row r="425" spans="1:8" x14ac:dyDescent="0.25">
      <c r="A425" s="820">
        <v>421</v>
      </c>
      <c r="B425" s="656" t="str">
        <f t="shared" si="6"/>
        <v>Consumed for non-CBAM goods</v>
      </c>
      <c r="C425" s="656" t="s">
        <v>2897</v>
      </c>
      <c r="D425" s="822"/>
      <c r="E425" s="822"/>
      <c r="F425" s="822"/>
      <c r="G425" s="822"/>
      <c r="H425" s="822"/>
    </row>
    <row r="426" spans="1:8" x14ac:dyDescent="0.25">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2.75" x14ac:dyDescent="0.25">
      <c r="A427" s="820">
        <v>423</v>
      </c>
      <c r="B427" s="636" t="str">
        <f t="shared" si="6"/>
        <v>e)</v>
      </c>
      <c r="C427" s="636" t="s">
        <v>2874</v>
      </c>
      <c r="D427" s="822"/>
      <c r="E427" s="822"/>
      <c r="F427" s="822"/>
      <c r="G427" s="822"/>
      <c r="H427" s="822"/>
    </row>
    <row r="428" spans="1:8" x14ac:dyDescent="0.25">
      <c r="A428" s="820">
        <v>424</v>
      </c>
      <c r="B428" s="656" t="str">
        <f t="shared" si="6"/>
        <v>Control</v>
      </c>
      <c r="C428" s="656" t="s">
        <v>2898</v>
      </c>
      <c r="D428" s="822"/>
      <c r="E428" s="822"/>
      <c r="F428" s="822"/>
      <c r="G428" s="822"/>
      <c r="H428" s="822"/>
    </row>
    <row r="429" spans="1:8" x14ac:dyDescent="0.25">
      <c r="A429" s="820">
        <v>425</v>
      </c>
      <c r="B429" s="651" t="str">
        <f t="shared" si="6"/>
        <v>This is an automatic calculation "a-(b+c+d)". Please ensure that this value is zero.</v>
      </c>
      <c r="C429" s="651" t="s">
        <v>2899</v>
      </c>
      <c r="D429" s="822"/>
      <c r="E429" s="822"/>
      <c r="F429" s="822"/>
      <c r="G429" s="822"/>
      <c r="H429" s="822"/>
    </row>
    <row r="430" spans="1:8" ht="12.75" x14ac:dyDescent="0.25">
      <c r="A430" s="820">
        <v>426</v>
      </c>
      <c r="B430" s="636" t="str">
        <f t="shared" si="6"/>
        <v>f)</v>
      </c>
      <c r="C430" s="636" t="s">
        <v>2875</v>
      </c>
      <c r="D430" s="822"/>
      <c r="E430" s="822"/>
      <c r="F430" s="822"/>
      <c r="G430" s="822"/>
      <c r="H430" s="822"/>
    </row>
    <row r="431" spans="1:8" x14ac:dyDescent="0.25">
      <c r="A431" s="820">
        <v>427</v>
      </c>
      <c r="B431" s="656" t="str">
        <f t="shared" si="6"/>
        <v>Applicable elements</v>
      </c>
      <c r="C431" s="656" t="s">
        <v>2881</v>
      </c>
      <c r="D431" s="822"/>
      <c r="E431" s="822"/>
      <c r="F431" s="822"/>
      <c r="G431" s="822"/>
      <c r="H431" s="822"/>
    </row>
    <row r="432" spans="1:8" x14ac:dyDescent="0.25">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x14ac:dyDescent="0.25">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2.75" x14ac:dyDescent="0.25">
      <c r="A434" s="820">
        <v>430</v>
      </c>
      <c r="B434" s="636" t="str">
        <f t="shared" si="6"/>
        <v>g)</v>
      </c>
      <c r="C434" s="636" t="s">
        <v>2876</v>
      </c>
      <c r="D434" s="822"/>
      <c r="E434" s="822"/>
      <c r="F434" s="822"/>
      <c r="G434" s="822"/>
      <c r="H434" s="822"/>
    </row>
    <row r="435" spans="1:8" x14ac:dyDescent="0.25">
      <c r="A435" s="820">
        <v>431</v>
      </c>
      <c r="B435" s="656" t="str">
        <f t="shared" si="6"/>
        <v>DirEm*</v>
      </c>
      <c r="C435" s="656" t="s">
        <v>274</v>
      </c>
      <c r="D435" s="822"/>
      <c r="E435" s="822"/>
      <c r="F435" s="822"/>
      <c r="G435" s="822"/>
      <c r="H435" s="822"/>
    </row>
    <row r="436" spans="1:8" x14ac:dyDescent="0.25">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x14ac:dyDescent="0.25">
      <c r="A437" s="820">
        <v>433</v>
      </c>
      <c r="B437" s="1054" t="str">
        <f t="shared" si="6"/>
        <v>Avoidance of double counting</v>
      </c>
      <c r="C437" s="1054" t="s">
        <v>2900</v>
      </c>
      <c r="D437" s="822"/>
      <c r="E437" s="822"/>
      <c r="F437" s="822"/>
      <c r="G437" s="822"/>
      <c r="H437" s="822"/>
    </row>
    <row r="438" spans="1:8" x14ac:dyDescent="0.25">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x14ac:dyDescent="0.25">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x14ac:dyDescent="0.25">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x14ac:dyDescent="0.25">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2.75" x14ac:dyDescent="0.25">
      <c r="A442" s="820">
        <v>438</v>
      </c>
      <c r="B442" s="636" t="str">
        <f t="shared" si="6"/>
        <v>h)</v>
      </c>
      <c r="C442" s="636" t="s">
        <v>2877</v>
      </c>
      <c r="D442" s="822"/>
      <c r="E442" s="822"/>
      <c r="F442" s="822"/>
      <c r="G442" s="822"/>
      <c r="H442" s="822"/>
    </row>
    <row r="443" spans="1:8" x14ac:dyDescent="0.25">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x14ac:dyDescent="0.25">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x14ac:dyDescent="0.25">
      <c r="A445" s="820">
        <v>441</v>
      </c>
      <c r="B445" s="651" t="str">
        <f t="shared" si="6"/>
        <v>For the EF of heat produced in a CHP, please see the reference to the "CHP Tool" above.</v>
      </c>
      <c r="C445" s="651" t="s">
        <v>2906</v>
      </c>
      <c r="D445" s="822"/>
      <c r="E445" s="822"/>
      <c r="F445" s="822"/>
      <c r="G445" s="822"/>
      <c r="H445" s="822"/>
    </row>
    <row r="446" spans="1:8" x14ac:dyDescent="0.25">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x14ac:dyDescent="0.25">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2.75" x14ac:dyDescent="0.25">
      <c r="A448" s="820">
        <v>444</v>
      </c>
      <c r="B448" s="636" t="str">
        <f t="shared" si="6"/>
        <v>i)</v>
      </c>
      <c r="C448" s="636" t="s">
        <v>2878</v>
      </c>
      <c r="D448" s="822"/>
      <c r="E448" s="822"/>
      <c r="F448" s="822"/>
      <c r="G448" s="822"/>
      <c r="H448" s="822"/>
    </row>
    <row r="449" spans="1:8" x14ac:dyDescent="0.25">
      <c r="A449" s="820">
        <v>445</v>
      </c>
      <c r="B449" s="656" t="str">
        <f t="shared" si="6"/>
        <v>Import and export of waste gases</v>
      </c>
      <c r="C449" s="656" t="s">
        <v>2907</v>
      </c>
      <c r="D449" s="822"/>
      <c r="E449" s="822"/>
      <c r="F449" s="822"/>
      <c r="G449" s="822"/>
      <c r="H449" s="822"/>
    </row>
    <row r="450" spans="1:8" x14ac:dyDescent="0.25">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x14ac:dyDescent="0.25">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2.75" x14ac:dyDescent="0.25">
      <c r="A452" s="820">
        <v>448</v>
      </c>
      <c r="B452" s="636" t="str">
        <f t="shared" si="6"/>
        <v>j)</v>
      </c>
      <c r="C452" s="636" t="s">
        <v>2879</v>
      </c>
      <c r="D452" s="822"/>
      <c r="E452" s="822"/>
      <c r="F452" s="822"/>
      <c r="G452" s="822"/>
      <c r="H452" s="822"/>
    </row>
    <row r="453" spans="1:8" x14ac:dyDescent="0.25">
      <c r="A453" s="820">
        <v>449</v>
      </c>
      <c r="B453" s="651" t="str">
        <f t="shared" si="6"/>
        <v>Please enter the total amount of electricity consumed within the system boundaries of the production process.</v>
      </c>
      <c r="C453" s="651" t="s">
        <v>2908</v>
      </c>
      <c r="D453" s="822"/>
      <c r="E453" s="822"/>
      <c r="F453" s="822"/>
      <c r="G453" s="822"/>
      <c r="H453" s="822"/>
    </row>
    <row r="454" spans="1:8" x14ac:dyDescent="0.25">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x14ac:dyDescent="0.25">
      <c r="A455" s="820">
        <v>451</v>
      </c>
      <c r="B455" s="651" t="str">
        <f t="shared" si="7"/>
        <v>The emission factor of the electricity can be determined by the following methods:</v>
      </c>
      <c r="C455" s="651" t="s">
        <v>4172</v>
      </c>
      <c r="D455" s="822"/>
      <c r="E455" s="822"/>
      <c r="F455" s="822"/>
      <c r="G455" s="822"/>
      <c r="H455" s="822"/>
    </row>
    <row r="456" spans="1:8" x14ac:dyDescent="0.25">
      <c r="A456" s="820">
        <v>452</v>
      </c>
      <c r="B456" s="651" t="str">
        <f t="shared" si="7"/>
        <v xml:space="preserve">CO2 emission factor based on specific default values  </v>
      </c>
      <c r="C456" s="651" t="s">
        <v>4173</v>
      </c>
      <c r="D456" s="822"/>
      <c r="E456" s="822"/>
      <c r="F456" s="822"/>
      <c r="G456" s="822"/>
      <c r="H456" s="822"/>
    </row>
    <row r="457" spans="1:8" x14ac:dyDescent="0.25">
      <c r="A457" s="820">
        <v>453</v>
      </c>
      <c r="B457" s="651" t="str">
        <f t="shared" si="7"/>
        <v xml:space="preserve">CO2 emission factor based on alternative default value </v>
      </c>
      <c r="C457" s="651" t="s">
        <v>4174</v>
      </c>
      <c r="D457" s="822"/>
      <c r="E457" s="822"/>
      <c r="F457" s="822"/>
      <c r="G457" s="822"/>
      <c r="H457" s="822"/>
    </row>
    <row r="458" spans="1:8" x14ac:dyDescent="0.25">
      <c r="A458" s="820">
        <v>454</v>
      </c>
      <c r="B458" s="651" t="str">
        <f t="shared" si="7"/>
        <v>CO2 emission factor based on reliable data demonstrated by the importer</v>
      </c>
      <c r="C458" s="651" t="s">
        <v>4175</v>
      </c>
      <c r="D458" s="822"/>
      <c r="E458" s="822"/>
      <c r="F458" s="822"/>
      <c r="G458" s="822"/>
      <c r="H458" s="822"/>
    </row>
    <row r="459" spans="1:8" x14ac:dyDescent="0.25">
      <c r="A459" s="820">
        <v>455</v>
      </c>
      <c r="B459" s="651" t="str">
        <f t="shared" si="7"/>
        <v xml:space="preserve">CO2 emission factor based on actual CO2 emissions of the installation </v>
      </c>
      <c r="C459" s="651" t="s">
        <v>4176</v>
      </c>
      <c r="D459" s="822"/>
      <c r="E459" s="822"/>
      <c r="F459" s="822"/>
      <c r="G459" s="822"/>
      <c r="H459" s="822"/>
    </row>
    <row r="460" spans="1:8" x14ac:dyDescent="0.25">
      <c r="A460" s="820">
        <v>456</v>
      </c>
      <c r="B460" s="656" t="str">
        <f t="shared" si="7"/>
        <v>Mix</v>
      </c>
      <c r="C460" s="656" t="s">
        <v>2909</v>
      </c>
      <c r="D460" s="822"/>
      <c r="E460" s="822"/>
      <c r="F460" s="822"/>
      <c r="G460" s="822"/>
      <c r="H460" s="822"/>
    </row>
    <row r="461" spans="1:8" x14ac:dyDescent="0.25">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2.75" x14ac:dyDescent="0.25">
      <c r="A462" s="820">
        <v>458</v>
      </c>
      <c r="B462" s="636" t="str">
        <f t="shared" si="7"/>
        <v>k)</v>
      </c>
      <c r="C462" s="636" t="s">
        <v>2880</v>
      </c>
      <c r="D462" s="822"/>
      <c r="E462" s="822"/>
      <c r="F462" s="822"/>
      <c r="G462" s="822"/>
      <c r="H462" s="822"/>
    </row>
    <row r="463" spans="1:8" x14ac:dyDescent="0.25">
      <c r="A463" s="820">
        <v>459</v>
      </c>
      <c r="B463" s="652" t="str">
        <f t="shared" si="7"/>
        <v>Electricity exported</v>
      </c>
      <c r="C463" s="652" t="s">
        <v>2911</v>
      </c>
      <c r="D463" s="822"/>
      <c r="E463" s="822"/>
      <c r="F463" s="822"/>
      <c r="G463" s="822"/>
      <c r="H463" s="822"/>
    </row>
    <row r="464" spans="1:8" x14ac:dyDescent="0.25">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75" x14ac:dyDescent="0.25">
      <c r="A465" s="820">
        <v>461</v>
      </c>
      <c r="B465" s="311" t="str">
        <f t="shared" si="7"/>
        <v>Summary of products</v>
      </c>
      <c r="C465" s="311" t="s">
        <v>406</v>
      </c>
      <c r="D465" s="822"/>
      <c r="E465" s="822"/>
      <c r="F465" s="822"/>
      <c r="G465" s="822"/>
      <c r="H465" s="822"/>
    </row>
    <row r="466" spans="1:8" x14ac:dyDescent="0.25">
      <c r="A466" s="820">
        <v>462</v>
      </c>
      <c r="B466" s="644" t="str">
        <f t="shared" si="7"/>
        <v>Please find below the detailed guidance on how to complete the sheet "Summary_Products".</v>
      </c>
      <c r="C466" s="644" t="s">
        <v>2811</v>
      </c>
      <c r="D466" s="822"/>
      <c r="E466" s="822"/>
      <c r="F466" s="822"/>
      <c r="G466" s="822"/>
      <c r="H466" s="822"/>
    </row>
    <row r="467" spans="1:8" x14ac:dyDescent="0.25">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x14ac:dyDescent="0.25">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x14ac:dyDescent="0.25">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x14ac:dyDescent="0.25">
      <c r="A470" s="820">
        <v>466</v>
      </c>
      <c r="B470" s="644" t="str">
        <f t="shared" si="7"/>
        <v>An example for how to complete a row is provided at the top of the table in sheet "Summary_Products".</v>
      </c>
      <c r="C470" s="644" t="s">
        <v>2891</v>
      </c>
      <c r="D470" s="822"/>
      <c r="E470" s="822"/>
      <c r="F470" s="822"/>
      <c r="G470" s="822"/>
      <c r="H470" s="822"/>
    </row>
    <row r="471" spans="1:8" x14ac:dyDescent="0.2">
      <c r="A471" s="820">
        <v>467</v>
      </c>
      <c r="B471" s="1053" t="str">
        <f t="shared" si="7"/>
        <v>General parameters</v>
      </c>
      <c r="C471" s="1053" t="s">
        <v>2781</v>
      </c>
      <c r="D471" s="822"/>
      <c r="E471" s="822"/>
      <c r="F471" s="822"/>
      <c r="G471" s="822"/>
      <c r="H471" s="822"/>
    </row>
    <row r="472" spans="1:8" x14ac:dyDescent="0.25">
      <c r="A472" s="820">
        <v>468</v>
      </c>
      <c r="B472" s="657" t="str">
        <f t="shared" si="7"/>
        <v>Production process from which the products arise</v>
      </c>
      <c r="C472" s="657" t="s">
        <v>360</v>
      </c>
      <c r="D472" s="822"/>
      <c r="E472" s="822"/>
      <c r="F472" s="822"/>
      <c r="G472" s="822"/>
      <c r="H472" s="822"/>
    </row>
    <row r="473" spans="1:8" x14ac:dyDescent="0.25">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x14ac:dyDescent="0.25">
      <c r="A474" s="820">
        <v>470</v>
      </c>
      <c r="B474" s="651" t="str">
        <f t="shared" si="7"/>
        <v>CN Codes</v>
      </c>
      <c r="C474" s="651" t="s">
        <v>305</v>
      </c>
      <c r="D474" s="822"/>
      <c r="E474" s="822"/>
      <c r="F474" s="822"/>
      <c r="G474" s="822"/>
      <c r="H474" s="822"/>
    </row>
    <row r="475" spans="1:8" x14ac:dyDescent="0.25">
      <c r="A475" s="820">
        <v>471</v>
      </c>
      <c r="B475" s="651" t="str">
        <f t="shared" si="7"/>
        <v>Please select here the relevant CN code, as disaggregated as possible (i.e. 8-digit code, if possible)</v>
      </c>
      <c r="C475" s="651" t="s">
        <v>2779</v>
      </c>
      <c r="D475" s="822"/>
      <c r="E475" s="822"/>
      <c r="F475" s="822"/>
      <c r="G475" s="822"/>
      <c r="H475" s="822"/>
    </row>
    <row r="476" spans="1:8" x14ac:dyDescent="0.25">
      <c r="A476" s="820">
        <v>472</v>
      </c>
      <c r="B476" s="651" t="str">
        <f t="shared" si="7"/>
        <v>Product name 
(used for communication with reporting declarant)</v>
      </c>
      <c r="C476" s="651" t="s">
        <v>2718</v>
      </c>
      <c r="D476" s="822"/>
      <c r="E476" s="822"/>
      <c r="F476" s="822"/>
      <c r="G476" s="822"/>
      <c r="H476" s="822"/>
    </row>
    <row r="477" spans="1:8" x14ac:dyDescent="0.25">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x14ac:dyDescent="0.25">
      <c r="A478" s="820">
        <v>474</v>
      </c>
      <c r="B478" s="656" t="str">
        <f t="shared" si="7"/>
        <v>Embedded emissions</v>
      </c>
      <c r="C478" s="656" t="s">
        <v>2775</v>
      </c>
      <c r="D478" s="822"/>
      <c r="E478" s="822"/>
      <c r="F478" s="822"/>
      <c r="G478" s="822"/>
      <c r="H478" s="822"/>
    </row>
    <row r="479" spans="1:8" x14ac:dyDescent="0.25">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x14ac:dyDescent="0.25">
      <c r="A480" s="820">
        <v>476</v>
      </c>
      <c r="B480" s="656" t="str">
        <f t="shared" si="7"/>
        <v>Embedded electricity</v>
      </c>
      <c r="C480" s="656" t="s">
        <v>365</v>
      </c>
      <c r="D480" s="822"/>
      <c r="E480" s="822"/>
      <c r="F480" s="822"/>
      <c r="G480" s="822"/>
      <c r="H480" s="822"/>
    </row>
    <row r="481" spans="1:8" x14ac:dyDescent="0.25">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x14ac:dyDescent="0.2">
      <c r="A482" s="820">
        <v>478</v>
      </c>
      <c r="B482" s="1053" t="str">
        <f t="shared" si="7"/>
        <v>Special parameters for certain aggregated good types</v>
      </c>
      <c r="C482" s="1053" t="s">
        <v>2782</v>
      </c>
      <c r="D482" s="822"/>
      <c r="E482" s="822"/>
      <c r="F482" s="822"/>
      <c r="G482" s="822"/>
      <c r="H482" s="822"/>
    </row>
    <row r="483" spans="1:8" x14ac:dyDescent="0.25">
      <c r="A483" s="820">
        <v>479</v>
      </c>
      <c r="B483" s="656" t="str">
        <f t="shared" si="7"/>
        <v>The main reducing agent of the precursor, if known</v>
      </c>
      <c r="C483" s="656" t="s">
        <v>299</v>
      </c>
      <c r="D483" s="822"/>
      <c r="E483" s="822"/>
      <c r="F483" s="822"/>
      <c r="G483" s="822"/>
      <c r="H483" s="822"/>
    </row>
    <row r="484" spans="1:8" x14ac:dyDescent="0.25">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x14ac:dyDescent="0.25">
      <c r="A485" s="820">
        <v>481</v>
      </c>
      <c r="B485" s="656" t="str">
        <f t="shared" si="7"/>
        <v>Steel mill identification number</v>
      </c>
      <c r="C485" s="656" t="s">
        <v>2987</v>
      </c>
      <c r="D485" s="822"/>
      <c r="E485" s="822"/>
      <c r="F485" s="822"/>
      <c r="G485" s="822"/>
      <c r="H485" s="822"/>
    </row>
    <row r="486" spans="1:8" x14ac:dyDescent="0.25">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x14ac:dyDescent="0.25">
      <c r="A487" s="820">
        <v>483</v>
      </c>
      <c r="B487" s="656" t="str">
        <f t="shared" si="7"/>
        <v>% Mn</v>
      </c>
      <c r="C487" s="656" t="s">
        <v>291</v>
      </c>
      <c r="D487" s="822"/>
      <c r="E487" s="822"/>
      <c r="F487" s="822"/>
      <c r="G487" s="822"/>
      <c r="H487" s="822"/>
    </row>
    <row r="488" spans="1:8" x14ac:dyDescent="0.25">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x14ac:dyDescent="0.25">
      <c r="A489" s="820">
        <v>485</v>
      </c>
      <c r="B489" s="656" t="str">
        <f t="shared" si="7"/>
        <v>% Cr</v>
      </c>
      <c r="C489" s="656" t="s">
        <v>292</v>
      </c>
      <c r="D489" s="822"/>
      <c r="E489" s="822"/>
      <c r="F489" s="822"/>
      <c r="G489" s="822"/>
      <c r="H489" s="822"/>
    </row>
    <row r="490" spans="1:8" x14ac:dyDescent="0.25">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x14ac:dyDescent="0.25">
      <c r="A491" s="820">
        <v>487</v>
      </c>
      <c r="B491" s="656" t="str">
        <f t="shared" si="7"/>
        <v>% Ni</v>
      </c>
      <c r="C491" s="656" t="s">
        <v>293</v>
      </c>
      <c r="D491" s="822"/>
      <c r="E491" s="822"/>
      <c r="F491" s="822"/>
      <c r="G491" s="822"/>
      <c r="H491" s="822"/>
    </row>
    <row r="492" spans="1:8" x14ac:dyDescent="0.25">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x14ac:dyDescent="0.25">
      <c r="A493" s="820">
        <v>489</v>
      </c>
      <c r="B493" s="656" t="str">
        <f t="shared" si="7"/>
        <v>% other alloys</v>
      </c>
      <c r="C493" s="656" t="s">
        <v>294</v>
      </c>
      <c r="D493" s="822"/>
      <c r="E493" s="822"/>
      <c r="F493" s="822"/>
      <c r="G493" s="822"/>
      <c r="H493" s="822"/>
    </row>
    <row r="494" spans="1:8" x14ac:dyDescent="0.25">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x14ac:dyDescent="0.25">
      <c r="A495" s="820">
        <v>491</v>
      </c>
      <c r="B495" s="656" t="str">
        <f t="shared" si="7"/>
        <v>% carbon</v>
      </c>
      <c r="C495" s="656" t="s">
        <v>2723</v>
      </c>
      <c r="D495" s="822"/>
      <c r="E495" s="822"/>
      <c r="F495" s="822"/>
      <c r="G495" s="822"/>
      <c r="H495" s="822"/>
    </row>
    <row r="496" spans="1:8" x14ac:dyDescent="0.25">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x14ac:dyDescent="0.25">
      <c r="A497" s="820">
        <v>493</v>
      </c>
      <c r="B497" s="656" t="str">
        <f t="shared" si="7"/>
        <v>t scrap per t steel</v>
      </c>
      <c r="C497" s="656" t="s">
        <v>296</v>
      </c>
      <c r="D497" s="822"/>
      <c r="E497" s="822"/>
      <c r="F497" s="822"/>
      <c r="G497" s="822"/>
      <c r="H497" s="822"/>
    </row>
    <row r="498" spans="1:8" x14ac:dyDescent="0.25">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x14ac:dyDescent="0.25">
      <c r="A499" s="820">
        <v>495</v>
      </c>
      <c r="B499" s="656" t="str">
        <f t="shared" si="7"/>
        <v>% other materials</v>
      </c>
      <c r="C499" s="656" t="s">
        <v>2946</v>
      </c>
      <c r="D499" s="822"/>
      <c r="E499" s="822"/>
      <c r="F499" s="822"/>
      <c r="G499" s="822"/>
      <c r="H499" s="822"/>
    </row>
    <row r="500" spans="1:8" x14ac:dyDescent="0.25">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x14ac:dyDescent="0.25">
      <c r="A501" s="820">
        <v>497</v>
      </c>
      <c r="B501" s="656" t="str">
        <f t="shared" si="7"/>
        <v>t scrap per t aluminium</v>
      </c>
      <c r="C501" s="656" t="s">
        <v>297</v>
      </c>
      <c r="D501" s="822"/>
      <c r="E501" s="822"/>
      <c r="F501" s="822"/>
      <c r="G501" s="822"/>
      <c r="H501" s="822"/>
    </row>
    <row r="502" spans="1:8" x14ac:dyDescent="0.25">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x14ac:dyDescent="0.25">
      <c r="A503" s="820">
        <v>499</v>
      </c>
      <c r="B503" s="656" t="str">
        <f t="shared" si="7"/>
        <v>% pre-consumer scrap</v>
      </c>
      <c r="C503" s="656" t="s">
        <v>2964</v>
      </c>
      <c r="D503" s="822"/>
      <c r="E503" s="822"/>
      <c r="F503" s="822"/>
      <c r="G503" s="822"/>
      <c r="H503" s="822"/>
    </row>
    <row r="504" spans="1:8" x14ac:dyDescent="0.25">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x14ac:dyDescent="0.25">
      <c r="A505" s="820">
        <v>501</v>
      </c>
      <c r="B505" s="656" t="str">
        <f t="shared" si="7"/>
        <v>% non-aluminium elements</v>
      </c>
      <c r="C505" s="656" t="s">
        <v>2947</v>
      </c>
      <c r="D505" s="822"/>
      <c r="E505" s="822"/>
      <c r="F505" s="822"/>
      <c r="G505" s="822"/>
      <c r="H505" s="822"/>
    </row>
    <row r="506" spans="1:8" x14ac:dyDescent="0.25">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x14ac:dyDescent="0.25">
      <c r="A507" s="820">
        <v>503</v>
      </c>
      <c r="B507" s="656" t="str">
        <f t="shared" si="7"/>
        <v>Clinker factor</v>
      </c>
      <c r="C507" s="656" t="s">
        <v>2783</v>
      </c>
      <c r="D507" s="822"/>
      <c r="E507" s="822"/>
      <c r="F507" s="822"/>
      <c r="G507" s="822"/>
      <c r="H507" s="822"/>
    </row>
    <row r="508" spans="1:8" x14ac:dyDescent="0.25">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x14ac:dyDescent="0.25">
      <c r="A509" s="820">
        <v>505</v>
      </c>
      <c r="B509" s="656" t="str">
        <f t="shared" si="7"/>
        <v>Calcined or not</v>
      </c>
      <c r="C509" s="656" t="s">
        <v>2784</v>
      </c>
      <c r="D509" s="822"/>
      <c r="E509" s="822"/>
      <c r="F509" s="822"/>
      <c r="G509" s="822"/>
      <c r="H509" s="822"/>
    </row>
    <row r="510" spans="1:8" x14ac:dyDescent="0.25">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x14ac:dyDescent="0.25">
      <c r="A511" s="820">
        <v>507</v>
      </c>
      <c r="B511" s="656" t="str">
        <f t="shared" si="7"/>
        <v>Concentration, if hydrous solution</v>
      </c>
      <c r="C511" s="656" t="s">
        <v>290</v>
      </c>
      <c r="D511" s="822"/>
      <c r="E511" s="822"/>
      <c r="F511" s="822"/>
      <c r="G511" s="822"/>
      <c r="H511" s="822"/>
    </row>
    <row r="512" spans="1:8" x14ac:dyDescent="0.25">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x14ac:dyDescent="0.25">
      <c r="A513" s="820">
        <v>509</v>
      </c>
      <c r="B513" s="656" t="str">
        <f t="shared" si="7"/>
        <v>% nitric acid</v>
      </c>
      <c r="C513" s="656" t="s">
        <v>2949</v>
      </c>
      <c r="D513" s="822"/>
      <c r="E513" s="822"/>
      <c r="F513" s="822"/>
      <c r="G513" s="822"/>
      <c r="H513" s="822"/>
    </row>
    <row r="514" spans="1:8" x14ac:dyDescent="0.25">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x14ac:dyDescent="0.25">
      <c r="A515" s="820">
        <v>511</v>
      </c>
      <c r="B515" s="656" t="str">
        <f t="shared" si="7"/>
        <v>% urea</v>
      </c>
      <c r="C515" s="656" t="s">
        <v>2948</v>
      </c>
      <c r="D515" s="822"/>
      <c r="E515" s="822"/>
      <c r="F515" s="822"/>
      <c r="G515" s="822"/>
      <c r="H515" s="822"/>
    </row>
    <row r="516" spans="1:8" x14ac:dyDescent="0.25">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x14ac:dyDescent="0.25">
      <c r="A517" s="820">
        <v>513</v>
      </c>
      <c r="B517" s="656" t="str">
        <f t="shared" si="7"/>
        <v>% N contained</v>
      </c>
      <c r="C517" s="656" t="s">
        <v>289</v>
      </c>
      <c r="D517" s="822"/>
      <c r="E517" s="822"/>
      <c r="F517" s="822"/>
      <c r="G517" s="822"/>
      <c r="H517" s="822"/>
    </row>
    <row r="518" spans="1:8" x14ac:dyDescent="0.25">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x14ac:dyDescent="0.25">
      <c r="A519" s="820">
        <v>515</v>
      </c>
      <c r="B519" s="656" t="str">
        <f t="shared" si="8"/>
        <v>% N as ammonium (NH4+)</v>
      </c>
      <c r="C519" s="656" t="s">
        <v>2950</v>
      </c>
      <c r="D519" s="822"/>
      <c r="E519" s="822"/>
      <c r="F519" s="822"/>
      <c r="G519" s="822"/>
      <c r="H519" s="822"/>
    </row>
    <row r="520" spans="1:8" x14ac:dyDescent="0.25">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x14ac:dyDescent="0.25">
      <c r="A521" s="820">
        <v>517</v>
      </c>
      <c r="B521" s="656" t="str">
        <f t="shared" si="8"/>
        <v>% N as nitrate (NO3–)</v>
      </c>
      <c r="C521" s="656" t="s">
        <v>2951</v>
      </c>
      <c r="D521" s="822"/>
      <c r="E521" s="822"/>
      <c r="F521" s="822"/>
      <c r="G521" s="822"/>
      <c r="H521" s="822"/>
    </row>
    <row r="522" spans="1:8" x14ac:dyDescent="0.25">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x14ac:dyDescent="0.25">
      <c r="A523" s="820">
        <v>519</v>
      </c>
      <c r="B523" s="656" t="str">
        <f t="shared" si="8"/>
        <v>% N as Urea</v>
      </c>
      <c r="C523" s="656" t="s">
        <v>2952</v>
      </c>
      <c r="D523" s="822"/>
      <c r="E523" s="822"/>
      <c r="F523" s="822"/>
      <c r="G523" s="822"/>
      <c r="H523" s="822"/>
    </row>
    <row r="524" spans="1:8" x14ac:dyDescent="0.25">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x14ac:dyDescent="0.25">
      <c r="A525" s="820">
        <v>521</v>
      </c>
      <c r="B525" s="656" t="str">
        <f t="shared" si="8"/>
        <v>% N in other (organic) forms</v>
      </c>
      <c r="C525" s="656" t="s">
        <v>2953</v>
      </c>
      <c r="D525" s="822"/>
      <c r="E525" s="822"/>
      <c r="F525" s="822"/>
      <c r="G525" s="822"/>
      <c r="H525" s="822"/>
    </row>
    <row r="526" spans="1:8" x14ac:dyDescent="0.25">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x14ac:dyDescent="0.2">
      <c r="A527" s="820">
        <v>523</v>
      </c>
      <c r="B527" s="1053" t="str">
        <f t="shared" si="8"/>
        <v>Information on carbon price due</v>
      </c>
      <c r="C527" s="1053" t="s">
        <v>3024</v>
      </c>
      <c r="D527" s="822"/>
      <c r="E527" s="822"/>
      <c r="F527" s="822"/>
      <c r="G527" s="822"/>
      <c r="H527" s="822"/>
    </row>
    <row r="528" spans="1:8" x14ac:dyDescent="0.25">
      <c r="A528" s="820">
        <v>524</v>
      </c>
      <c r="B528" s="658" t="str">
        <f t="shared" si="8"/>
        <v>Note</v>
      </c>
      <c r="C528" s="658" t="s">
        <v>2884</v>
      </c>
      <c r="D528" s="822"/>
      <c r="E528" s="822"/>
      <c r="F528" s="822"/>
      <c r="G528" s="822"/>
      <c r="H528" s="822"/>
    </row>
    <row r="529" spans="1:8" x14ac:dyDescent="0.25">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x14ac:dyDescent="0.25">
      <c r="A530" s="820">
        <v>526</v>
      </c>
      <c r="B530" s="656" t="str">
        <f t="shared" si="8"/>
        <v>Type of instrument (carbon pricing)</v>
      </c>
      <c r="C530" s="656" t="s">
        <v>4215</v>
      </c>
      <c r="D530" s="822"/>
      <c r="E530" s="822"/>
      <c r="F530" s="822"/>
      <c r="G530" s="822"/>
      <c r="H530" s="822"/>
    </row>
    <row r="531" spans="1:8" x14ac:dyDescent="0.25">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x14ac:dyDescent="0.25">
      <c r="A532" s="820">
        <v>528</v>
      </c>
      <c r="B532" s="656" t="str">
        <f t="shared" si="8"/>
        <v>Share of total embedded emissions covered by the carbon price</v>
      </c>
      <c r="C532" s="656" t="s">
        <v>2776</v>
      </c>
      <c r="D532" s="822"/>
      <c r="E532" s="822"/>
      <c r="F532" s="822"/>
      <c r="G532" s="822"/>
      <c r="H532" s="822"/>
    </row>
    <row r="533" spans="1:8" x14ac:dyDescent="0.25">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x14ac:dyDescent="0.25">
      <c r="A534" s="820">
        <v>530</v>
      </c>
      <c r="B534" s="656" t="str">
        <f t="shared" si="8"/>
        <v>Currency</v>
      </c>
      <c r="C534" s="656" t="s">
        <v>601</v>
      </c>
      <c r="D534" s="822"/>
      <c r="E534" s="822"/>
      <c r="F534" s="822"/>
      <c r="G534" s="822"/>
      <c r="H534" s="822"/>
    </row>
    <row r="535" spans="1:8" x14ac:dyDescent="0.25">
      <c r="A535" s="820">
        <v>531</v>
      </c>
      <c r="B535" s="651" t="str">
        <f t="shared" si="8"/>
        <v>Please enter the currency in which the carbon price is being due.</v>
      </c>
      <c r="C535" s="651" t="s">
        <v>4183</v>
      </c>
      <c r="D535" s="822"/>
      <c r="E535" s="822"/>
      <c r="F535" s="822"/>
      <c r="G535" s="822"/>
      <c r="H535" s="822"/>
    </row>
    <row r="536" spans="1:8" x14ac:dyDescent="0.25">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x14ac:dyDescent="0.25">
      <c r="A537" s="820">
        <v>533</v>
      </c>
      <c r="B537" s="656" t="str">
        <f t="shared" si="8"/>
        <v>Type of rebate</v>
      </c>
      <c r="C537" s="656" t="s">
        <v>4216</v>
      </c>
      <c r="D537" s="822"/>
      <c r="E537" s="822"/>
      <c r="F537" s="822"/>
      <c r="G537" s="822"/>
      <c r="H537" s="822"/>
    </row>
    <row r="538" spans="1:8" x14ac:dyDescent="0.25">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x14ac:dyDescent="0.25">
      <c r="A539" s="820">
        <v>535</v>
      </c>
      <c r="B539" s="656" t="str">
        <f t="shared" si="8"/>
        <v>Share of embedded emissions covered by the rebate</v>
      </c>
      <c r="C539" s="656" t="s">
        <v>2994</v>
      </c>
      <c r="D539" s="822"/>
      <c r="E539" s="822"/>
      <c r="F539" s="822"/>
      <c r="G539" s="822"/>
      <c r="H539" s="822"/>
    </row>
    <row r="540" spans="1:8" x14ac:dyDescent="0.25">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x14ac:dyDescent="0.25">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x14ac:dyDescent="0.25">
      <c r="A542" s="820">
        <v>538</v>
      </c>
      <c r="B542" s="652" t="str">
        <f t="shared" si="8"/>
        <v>Result</v>
      </c>
      <c r="C542" s="652" t="s">
        <v>2866</v>
      </c>
      <c r="D542" s="822"/>
      <c r="E542" s="822"/>
      <c r="F542" s="822"/>
      <c r="G542" s="822"/>
      <c r="H542" s="822"/>
    </row>
    <row r="543" spans="1:8" ht="12.75" thickBot="1" x14ac:dyDescent="0.3">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2.75" x14ac:dyDescent="0.25">
      <c r="A544" s="820">
        <v>540</v>
      </c>
      <c r="B544" s="1004" t="str">
        <f t="shared" si="8"/>
        <v>Summary of production processes</v>
      </c>
      <c r="C544" s="1004" t="s">
        <v>370</v>
      </c>
      <c r="D544" s="822"/>
      <c r="E544" s="822"/>
      <c r="F544" s="822"/>
      <c r="G544" s="822"/>
      <c r="H544" s="822"/>
    </row>
    <row r="545" spans="1:8" ht="15.75" x14ac:dyDescent="0.25">
      <c r="A545" s="820">
        <v>541</v>
      </c>
      <c r="B545" s="311" t="str">
        <f t="shared" si="8"/>
        <v>Summary of the installation, processes and production routes</v>
      </c>
      <c r="C545" s="311" t="s">
        <v>2749</v>
      </c>
      <c r="D545" s="822"/>
      <c r="E545" s="822"/>
      <c r="F545" s="822"/>
      <c r="G545" s="822"/>
      <c r="H545" s="822"/>
    </row>
    <row r="546" spans="1:8" ht="12.75" x14ac:dyDescent="0.25">
      <c r="A546" s="820">
        <v>542</v>
      </c>
      <c r="B546" s="157" t="str">
        <f t="shared" si="8"/>
        <v>Installation &amp; processes</v>
      </c>
      <c r="C546" s="157" t="s">
        <v>2805</v>
      </c>
      <c r="D546" s="822"/>
      <c r="E546" s="822"/>
      <c r="F546" s="822"/>
      <c r="G546" s="822"/>
      <c r="H546" s="822"/>
    </row>
    <row r="547" spans="1:8" ht="15" x14ac:dyDescent="0.25">
      <c r="A547" s="820">
        <v>543</v>
      </c>
      <c r="B547" s="1055" t="str">
        <f t="shared" si="8"/>
        <v>Summary of the installation</v>
      </c>
      <c r="C547" s="1055" t="s">
        <v>2750</v>
      </c>
      <c r="D547" s="822"/>
      <c r="E547" s="822"/>
      <c r="F547" s="822"/>
      <c r="G547" s="822"/>
      <c r="H547" s="822"/>
    </row>
    <row r="548" spans="1:8" ht="12.75" x14ac:dyDescent="0.25">
      <c r="A548" s="820">
        <v>544</v>
      </c>
      <c r="B548" s="1056" t="str">
        <f t="shared" si="8"/>
        <v>Reporting period start:</v>
      </c>
      <c r="C548" s="1056" t="s">
        <v>2755</v>
      </c>
      <c r="D548" s="822"/>
      <c r="E548" s="822"/>
      <c r="F548" s="822"/>
      <c r="G548" s="822"/>
      <c r="H548" s="822"/>
    </row>
    <row r="549" spans="1:8" ht="12.75" x14ac:dyDescent="0.25">
      <c r="A549" s="820">
        <v>545</v>
      </c>
      <c r="B549" s="1056" t="str">
        <f t="shared" si="8"/>
        <v>Reporting period end:</v>
      </c>
      <c r="C549" s="1056" t="s">
        <v>2756</v>
      </c>
      <c r="D549" s="822"/>
      <c r="E549" s="822"/>
      <c r="F549" s="822"/>
      <c r="G549" s="822"/>
      <c r="H549" s="822"/>
    </row>
    <row r="550" spans="1:8" ht="15" x14ac:dyDescent="0.25">
      <c r="A550" s="820">
        <v>546</v>
      </c>
      <c r="B550" s="1055" t="str">
        <f t="shared" si="8"/>
        <v>Summary of the production processes, included precursors and production routes, where relevant</v>
      </c>
      <c r="C550" s="1055" t="s">
        <v>2954</v>
      </c>
      <c r="D550" s="822"/>
      <c r="E550" s="822"/>
      <c r="F550" s="822"/>
      <c r="G550" s="822"/>
      <c r="H550" s="822"/>
    </row>
    <row r="551" spans="1:8" ht="12.75" x14ac:dyDescent="0.2">
      <c r="A551" s="820">
        <v>547</v>
      </c>
      <c r="B551" s="870" t="str">
        <f t="shared" si="8"/>
        <v>Aggregated good produced</v>
      </c>
      <c r="C551" s="870" t="s">
        <v>2757</v>
      </c>
      <c r="D551" s="822"/>
      <c r="E551" s="822"/>
      <c r="F551" s="822"/>
      <c r="G551" s="822"/>
      <c r="H551" s="822"/>
    </row>
    <row r="552" spans="1:8" ht="12.75" x14ac:dyDescent="0.2">
      <c r="A552" s="820">
        <v>548</v>
      </c>
      <c r="B552" s="1036" t="str">
        <f t="shared" si="8"/>
        <v>Routes</v>
      </c>
      <c r="C552" s="1036" t="s">
        <v>2739</v>
      </c>
      <c r="D552" s="822"/>
      <c r="E552" s="822"/>
      <c r="F552" s="822"/>
      <c r="G552" s="822"/>
      <c r="H552" s="822"/>
    </row>
    <row r="553" spans="1:8" ht="12.75" x14ac:dyDescent="0.2">
      <c r="A553" s="820">
        <v>549</v>
      </c>
      <c r="B553" s="870" t="str">
        <f t="shared" si="8"/>
        <v>Purchased precursor</v>
      </c>
      <c r="C553" s="870" t="s">
        <v>639</v>
      </c>
      <c r="D553" s="822"/>
      <c r="E553" s="822"/>
      <c r="F553" s="822"/>
      <c r="G553" s="822"/>
      <c r="H553" s="822"/>
    </row>
    <row r="554" spans="1:8" ht="15.75" x14ac:dyDescent="0.25">
      <c r="A554" s="820">
        <v>550</v>
      </c>
      <c r="B554" s="311" t="str">
        <f t="shared" si="8"/>
        <v>Greenhouse gas emissions balance and specific embedded emissions (SEE)</v>
      </c>
      <c r="C554" s="311" t="s">
        <v>577</v>
      </c>
      <c r="D554" s="822"/>
      <c r="E554" s="822"/>
      <c r="F554" s="822"/>
      <c r="G554" s="822"/>
      <c r="H554" s="822"/>
    </row>
    <row r="555" spans="1:8" ht="12.75" x14ac:dyDescent="0.25">
      <c r="A555" s="820">
        <v>551</v>
      </c>
      <c r="B555" s="157" t="str">
        <f t="shared" si="8"/>
        <v>GHG &amp; SEE</v>
      </c>
      <c r="C555" s="157" t="s">
        <v>2806</v>
      </c>
      <c r="D555" s="822"/>
      <c r="E555" s="822"/>
      <c r="F555" s="822"/>
      <c r="G555" s="822"/>
      <c r="H555" s="822"/>
    </row>
    <row r="556" spans="1:8" ht="15" x14ac:dyDescent="0.25">
      <c r="A556" s="820">
        <v>552</v>
      </c>
      <c r="B556" s="1055" t="str">
        <f t="shared" si="8"/>
        <v>GHG emissions balance of the installation and all production processes</v>
      </c>
      <c r="C556" s="1055" t="s">
        <v>573</v>
      </c>
      <c r="D556" s="822"/>
      <c r="E556" s="822"/>
      <c r="F556" s="822"/>
      <c r="G556" s="822"/>
      <c r="H556" s="822"/>
    </row>
    <row r="557" spans="1:8" ht="12.75" x14ac:dyDescent="0.2">
      <c r="A557" s="820">
        <v>553</v>
      </c>
      <c r="B557" s="1036" t="str">
        <f t="shared" si="8"/>
        <v>Heat emissions</v>
      </c>
      <c r="C557" s="1036" t="s">
        <v>399</v>
      </c>
      <c r="D557" s="822"/>
      <c r="E557" s="822"/>
      <c r="F557" s="822"/>
      <c r="G557" s="822"/>
      <c r="H557" s="822"/>
    </row>
    <row r="558" spans="1:8" ht="12.75" x14ac:dyDescent="0.2">
      <c r="A558" s="820">
        <v>554</v>
      </c>
      <c r="B558" s="1036" t="str">
        <f t="shared" si="8"/>
        <v>Waste gas emissions</v>
      </c>
      <c r="C558" s="1036" t="s">
        <v>569</v>
      </c>
      <c r="D558" s="822"/>
      <c r="E558" s="822"/>
      <c r="F558" s="822"/>
      <c r="G558" s="822"/>
      <c r="H558" s="822"/>
    </row>
    <row r="559" spans="1:8" ht="12.75" x14ac:dyDescent="0.2">
      <c r="A559" s="820">
        <v>555</v>
      </c>
      <c r="B559" s="1036" t="str">
        <f t="shared" si="8"/>
        <v>Indirect, if relevant</v>
      </c>
      <c r="C559" s="1036" t="s">
        <v>273</v>
      </c>
      <c r="D559" s="822"/>
      <c r="E559" s="822"/>
      <c r="F559" s="822"/>
      <c r="G559" s="822"/>
      <c r="H559" s="822"/>
    </row>
    <row r="560" spans="1:8" ht="12.75" x14ac:dyDescent="0.2">
      <c r="A560" s="820">
        <v>556</v>
      </c>
      <c r="B560" s="1018" t="str">
        <f t="shared" si="8"/>
        <v>Comparison:</v>
      </c>
      <c r="C560" s="1018" t="s">
        <v>374</v>
      </c>
      <c r="D560" s="822"/>
      <c r="E560" s="822"/>
      <c r="F560" s="822"/>
      <c r="G560" s="822"/>
      <c r="H560" s="822"/>
    </row>
    <row r="561" spans="1:8" ht="12.75" x14ac:dyDescent="0.2">
      <c r="A561" s="820">
        <v>557</v>
      </c>
      <c r="B561" s="1036" t="str">
        <f t="shared" si="8"/>
        <v>Emissions</v>
      </c>
      <c r="C561" s="1036" t="s">
        <v>400</v>
      </c>
      <c r="D561" s="822"/>
      <c r="E561" s="822"/>
      <c r="F561" s="822"/>
      <c r="G561" s="822"/>
      <c r="H561" s="822"/>
    </row>
    <row r="562" spans="1:8" ht="12.75" x14ac:dyDescent="0.25">
      <c r="A562" s="820">
        <v>558</v>
      </c>
      <c r="B562" s="1050" t="str">
        <f t="shared" si="8"/>
        <v>Total emissions of the installation (from sheet "C_Emissions&amp;Energy")</v>
      </c>
      <c r="C562" s="1050" t="s">
        <v>571</v>
      </c>
      <c r="D562" s="822"/>
      <c r="E562" s="822"/>
      <c r="F562" s="822"/>
      <c r="G562" s="822"/>
      <c r="H562" s="822"/>
    </row>
    <row r="563" spans="1:8" ht="12.75" x14ac:dyDescent="0.25">
      <c r="A563" s="820">
        <v>559</v>
      </c>
      <c r="B563" s="617" t="str">
        <f t="shared" si="8"/>
        <v>Rest (= emissions not attributed to CBAM processes)</v>
      </c>
      <c r="C563" s="617" t="s">
        <v>373</v>
      </c>
      <c r="D563" s="822"/>
      <c r="E563" s="822"/>
      <c r="F563" s="822"/>
      <c r="G563" s="822"/>
      <c r="H563" s="822"/>
    </row>
    <row r="564" spans="1:8" ht="12.75" x14ac:dyDescent="0.25">
      <c r="A564" s="820">
        <v>560</v>
      </c>
      <c r="B564" s="618" t="str">
        <f t="shared" si="8"/>
        <v>Rest (expressed as % of total)</v>
      </c>
      <c r="C564" s="618" t="s">
        <v>570</v>
      </c>
      <c r="D564" s="822"/>
      <c r="E564" s="822"/>
      <c r="F564" s="822"/>
      <c r="G564" s="822"/>
      <c r="H564" s="822"/>
    </row>
    <row r="565" spans="1:8" x14ac:dyDescent="0.25">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5" x14ac:dyDescent="0.25">
      <c r="A566" s="820">
        <v>562</v>
      </c>
      <c r="B566" s="1055" t="str">
        <f t="shared" si="8"/>
        <v>Specific direct and indirect (embedded) emissions</v>
      </c>
      <c r="C566" s="1055" t="s">
        <v>371</v>
      </c>
      <c r="D566" s="822"/>
      <c r="E566" s="822"/>
      <c r="F566" s="822"/>
      <c r="G566" s="822"/>
      <c r="H566" s="822"/>
    </row>
    <row r="567" spans="1:8" x14ac:dyDescent="0.25">
      <c r="A567" s="820">
        <v>563</v>
      </c>
      <c r="B567" s="1035" t="str">
        <f t="shared" si="8"/>
        <v>The following abbreviations are used in the tables below:</v>
      </c>
      <c r="C567" s="1035" t="s">
        <v>380</v>
      </c>
      <c r="D567" s="822"/>
      <c r="E567" s="822"/>
      <c r="F567" s="822"/>
      <c r="G567" s="822"/>
      <c r="H567" s="822"/>
    </row>
    <row r="568" spans="1:8" x14ac:dyDescent="0.25">
      <c r="A568" s="820">
        <v>564</v>
      </c>
      <c r="B568" s="650" t="str">
        <f t="shared" si="8"/>
        <v>SE (direct)</v>
      </c>
      <c r="C568" s="650" t="s">
        <v>312</v>
      </c>
      <c r="D568" s="822"/>
      <c r="E568" s="822"/>
      <c r="F568" s="822"/>
      <c r="G568" s="822"/>
      <c r="H568" s="822"/>
    </row>
    <row r="569" spans="1:8" x14ac:dyDescent="0.25">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x14ac:dyDescent="0.25">
      <c r="A570" s="820">
        <v>566</v>
      </c>
      <c r="B570" s="651" t="str">
        <f t="shared" si="8"/>
        <v>SEE (direct)</v>
      </c>
      <c r="C570" s="651" t="s">
        <v>183</v>
      </c>
      <c r="D570" s="822"/>
      <c r="E570" s="822"/>
      <c r="F570" s="822"/>
      <c r="G570" s="822"/>
      <c r="H570" s="822"/>
    </row>
    <row r="571" spans="1:8" x14ac:dyDescent="0.25">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x14ac:dyDescent="0.25">
      <c r="A572" s="820">
        <v>568</v>
      </c>
      <c r="B572" s="651" t="str">
        <f t="shared" si="8"/>
        <v>SE (indirect)</v>
      </c>
      <c r="C572" s="651" t="s">
        <v>327</v>
      </c>
      <c r="D572" s="822"/>
      <c r="E572" s="822"/>
      <c r="F572" s="822"/>
      <c r="G572" s="822"/>
      <c r="H572" s="822"/>
    </row>
    <row r="573" spans="1:8" x14ac:dyDescent="0.25">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x14ac:dyDescent="0.25">
      <c r="A574" s="820">
        <v>570</v>
      </c>
      <c r="B574" s="651" t="str">
        <f t="shared" si="8"/>
        <v>SEE (indirect)</v>
      </c>
      <c r="C574" s="651" t="s">
        <v>182</v>
      </c>
      <c r="D574" s="822"/>
      <c r="E574" s="822"/>
      <c r="F574" s="822"/>
      <c r="G574" s="822"/>
      <c r="H574" s="822"/>
    </row>
    <row r="575" spans="1:8" x14ac:dyDescent="0.25">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x14ac:dyDescent="0.25">
      <c r="A576" s="820">
        <v>572</v>
      </c>
      <c r="B576" s="651" t="str">
        <f t="shared" si="8"/>
        <v>Electricity consumed</v>
      </c>
      <c r="C576" s="651" t="s">
        <v>364</v>
      </c>
      <c r="D576" s="822"/>
      <c r="E576" s="822"/>
      <c r="F576" s="822"/>
      <c r="G576" s="822"/>
      <c r="H576" s="822"/>
    </row>
    <row r="577" spans="1:8" x14ac:dyDescent="0.25">
      <c r="A577" s="820">
        <v>573</v>
      </c>
      <c r="B577" s="651" t="str">
        <f t="shared" si="8"/>
        <v>Specific electricity consumption within the production process.</v>
      </c>
      <c r="C577" s="651" t="s">
        <v>372</v>
      </c>
      <c r="D577" s="822"/>
      <c r="E577" s="822"/>
      <c r="F577" s="822"/>
      <c r="G577" s="822"/>
      <c r="H577" s="822"/>
    </row>
    <row r="578" spans="1:8" ht="12.75" x14ac:dyDescent="0.2">
      <c r="A578" s="820">
        <v>574</v>
      </c>
      <c r="B578" s="1057" t="str">
        <f t="shared" si="8"/>
        <v>Type of precursor</v>
      </c>
      <c r="C578" s="1057" t="s">
        <v>422</v>
      </c>
      <c r="D578" s="822"/>
      <c r="E578" s="822"/>
      <c r="F578" s="822"/>
      <c r="G578" s="822"/>
      <c r="H578" s="822"/>
    </row>
    <row r="579" spans="1:8" ht="15.75" x14ac:dyDescent="0.25">
      <c r="A579" s="820">
        <v>575</v>
      </c>
      <c r="B579" s="311" t="str">
        <f t="shared" si="8"/>
        <v>Detailed overview of each production processes</v>
      </c>
      <c r="C579" s="311" t="s">
        <v>336</v>
      </c>
      <c r="D579" s="822"/>
      <c r="E579" s="822"/>
      <c r="F579" s="822"/>
      <c r="G579" s="822"/>
      <c r="H579" s="822"/>
    </row>
    <row r="580" spans="1:8" ht="12.75" x14ac:dyDescent="0.25">
      <c r="A580" s="820">
        <v>576</v>
      </c>
      <c r="B580" s="157" t="str">
        <f t="shared" si="8"/>
        <v>Detailed overview</v>
      </c>
      <c r="C580" s="157" t="s">
        <v>2807</v>
      </c>
      <c r="D580" s="822"/>
      <c r="E580" s="822"/>
      <c r="F580" s="822"/>
      <c r="G580" s="822"/>
      <c r="H580" s="822"/>
    </row>
    <row r="581" spans="1:8" x14ac:dyDescent="0.25">
      <c r="A581" s="820">
        <v>577</v>
      </c>
      <c r="B581" s="654" t="str">
        <f t="shared" si="8"/>
        <v>General aspects</v>
      </c>
      <c r="C581" s="654" t="s">
        <v>423</v>
      </c>
      <c r="D581" s="822"/>
      <c r="E581" s="822"/>
      <c r="F581" s="822"/>
      <c r="G581" s="822"/>
      <c r="H581" s="822"/>
    </row>
    <row r="582" spans="1:8" x14ac:dyDescent="0.25">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x14ac:dyDescent="0.25">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x14ac:dyDescent="0.25">
      <c r="A584" s="820">
        <v>580</v>
      </c>
      <c r="B584" s="651" t="str">
        <f t="shared" si="9"/>
        <v>Mass share</v>
      </c>
      <c r="C584" s="651" t="s">
        <v>314</v>
      </c>
      <c r="D584" s="822"/>
      <c r="E584" s="822"/>
      <c r="F584" s="822"/>
      <c r="G584" s="822"/>
      <c r="H584" s="822"/>
    </row>
    <row r="585" spans="1:8" x14ac:dyDescent="0.25">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x14ac:dyDescent="0.25">
      <c r="A586" s="820">
        <v>582</v>
      </c>
      <c r="B586" s="651" t="str">
        <f t="shared" si="9"/>
        <v>(Share of) Default value</v>
      </c>
      <c r="C586" s="651" t="s">
        <v>3001</v>
      </c>
      <c r="D586" s="822"/>
      <c r="E586" s="822"/>
      <c r="F586" s="822"/>
      <c r="G586" s="822"/>
      <c r="H586" s="822"/>
    </row>
    <row r="587" spans="1:8" x14ac:dyDescent="0.25">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x14ac:dyDescent="0.25">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x14ac:dyDescent="0.25">
      <c r="A589" s="820">
        <v>585</v>
      </c>
      <c r="B589" s="651" t="str">
        <f t="shared" si="9"/>
        <v>EmbEm (direct)</v>
      </c>
      <c r="C589" s="651" t="s">
        <v>196</v>
      </c>
      <c r="D589" s="822"/>
      <c r="E589" s="822"/>
      <c r="F589" s="822"/>
      <c r="G589" s="822"/>
      <c r="H589" s="822"/>
    </row>
    <row r="590" spans="1:8" x14ac:dyDescent="0.25">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x14ac:dyDescent="0.25">
      <c r="A591" s="820">
        <v>587</v>
      </c>
      <c r="B591" s="651" t="str">
        <f t="shared" si="9"/>
        <v>EmbEm (indirect)</v>
      </c>
      <c r="C591" s="651" t="s">
        <v>197</v>
      </c>
      <c r="D591" s="822"/>
      <c r="E591" s="822"/>
      <c r="F591" s="822"/>
      <c r="G591" s="822"/>
      <c r="H591" s="822"/>
    </row>
    <row r="592" spans="1:8" x14ac:dyDescent="0.25">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x14ac:dyDescent="0.25">
      <c r="A593" s="820">
        <v>589</v>
      </c>
      <c r="B593" s="651" t="str">
        <f t="shared" si="9"/>
        <v>EmbEm (total)</v>
      </c>
      <c r="C593" s="651" t="s">
        <v>198</v>
      </c>
      <c r="D593" s="822"/>
      <c r="E593" s="822"/>
      <c r="F593" s="822"/>
      <c r="G593" s="822"/>
      <c r="H593" s="822"/>
    </row>
    <row r="594" spans="1:8" x14ac:dyDescent="0.25">
      <c r="A594" s="820">
        <v>590</v>
      </c>
      <c r="B594" s="651" t="str">
        <f t="shared" si="9"/>
        <v>Source of electricity EF</v>
      </c>
      <c r="C594" s="651" t="s">
        <v>600</v>
      </c>
      <c r="D594" s="822"/>
      <c r="E594" s="822"/>
      <c r="F594" s="822"/>
      <c r="G594" s="822"/>
      <c r="H594" s="822"/>
    </row>
    <row r="595" spans="1:8" x14ac:dyDescent="0.25">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x14ac:dyDescent="0.25">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x14ac:dyDescent="0.25">
      <c r="A597" s="820">
        <v>593</v>
      </c>
      <c r="B597" s="651" t="str">
        <f t="shared" si="9"/>
        <v>Specific electricity</v>
      </c>
      <c r="C597" s="651" t="s">
        <v>4188</v>
      </c>
      <c r="D597" s="822"/>
      <c r="E597" s="822"/>
      <c r="F597" s="822"/>
      <c r="G597" s="822"/>
      <c r="H597" s="822"/>
    </row>
    <row r="598" spans="1:8" x14ac:dyDescent="0.25">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75" thickBot="1" x14ac:dyDescent="0.3">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5" thickBot="1" x14ac:dyDescent="0.3">
      <c r="A600" s="820">
        <v>596</v>
      </c>
      <c r="B600" s="1058" t="str">
        <f t="shared" si="9"/>
        <v>Total production process</v>
      </c>
      <c r="C600" s="1058" t="s">
        <v>379</v>
      </c>
      <c r="D600" s="822"/>
      <c r="E600" s="822"/>
      <c r="F600" s="822"/>
      <c r="G600" s="822"/>
      <c r="H600" s="822"/>
    </row>
    <row r="601" spans="1:8" ht="12.75" x14ac:dyDescent="0.25">
      <c r="A601" s="820">
        <v>597</v>
      </c>
      <c r="B601" s="1031" t="str">
        <f t="shared" si="9"/>
        <v>Production and consumption</v>
      </c>
      <c r="C601" s="1031" t="s">
        <v>199</v>
      </c>
      <c r="D601" s="822"/>
      <c r="E601" s="822"/>
      <c r="F601" s="822"/>
      <c r="G601" s="822"/>
      <c r="H601" s="822"/>
    </row>
    <row r="602" spans="1:8" ht="12.75" x14ac:dyDescent="0.25">
      <c r="A602" s="820">
        <v>598</v>
      </c>
      <c r="B602" s="1031" t="str">
        <f t="shared" si="9"/>
        <v>Total production of precursors</v>
      </c>
      <c r="C602" s="1031" t="s">
        <v>200</v>
      </c>
      <c r="D602" s="822"/>
      <c r="E602" s="822"/>
      <c r="F602" s="822"/>
      <c r="G602" s="822"/>
      <c r="H602" s="822"/>
    </row>
    <row r="603" spans="1:8" x14ac:dyDescent="0.2">
      <c r="A603" s="820">
        <v>599</v>
      </c>
      <c r="B603" s="1059" t="str">
        <f t="shared" si="9"/>
        <v>Type of aggregated good or precursor</v>
      </c>
      <c r="C603" s="1059" t="s">
        <v>2777</v>
      </c>
      <c r="D603" s="822"/>
      <c r="E603" s="822"/>
      <c r="F603" s="822"/>
      <c r="G603" s="822"/>
      <c r="H603" s="822"/>
    </row>
    <row r="604" spans="1:8" x14ac:dyDescent="0.2">
      <c r="A604" s="820">
        <v>600</v>
      </c>
      <c r="B604" s="1060" t="str">
        <f t="shared" si="9"/>
        <v>CN Name</v>
      </c>
      <c r="C604" s="1060" t="s">
        <v>306</v>
      </c>
      <c r="D604" s="822"/>
      <c r="E604" s="822"/>
      <c r="F604" s="822"/>
      <c r="G604" s="822"/>
      <c r="H604" s="822"/>
    </row>
    <row r="605" spans="1:8" x14ac:dyDescent="0.2">
      <c r="A605" s="820">
        <v>601</v>
      </c>
      <c r="B605" s="1060" t="str">
        <f t="shared" si="9"/>
        <v>Product name 
(used for communication with reporting declarant, e.g. on invoices)</v>
      </c>
      <c r="C605" s="1060" t="s">
        <v>2889</v>
      </c>
      <c r="D605" s="822"/>
      <c r="E605" s="822"/>
      <c r="F605" s="822"/>
      <c r="G605" s="822"/>
      <c r="H605" s="822"/>
    </row>
    <row r="606" spans="1:8" x14ac:dyDescent="0.2">
      <c r="A606" s="820">
        <v>602</v>
      </c>
      <c r="B606" s="1060" t="str">
        <f t="shared" si="9"/>
        <v>Source for electricity EF</v>
      </c>
      <c r="C606" s="1060" t="s">
        <v>610</v>
      </c>
      <c r="D606" s="822"/>
      <c r="E606" s="822"/>
      <c r="F606" s="822"/>
      <c r="G606" s="822"/>
      <c r="H606" s="822"/>
    </row>
    <row r="607" spans="1:8" x14ac:dyDescent="0.2">
      <c r="A607" s="820">
        <v>603</v>
      </c>
      <c r="B607" s="1060" t="str">
        <f t="shared" si="9"/>
        <v>Embedded electricity (MWh/t)</v>
      </c>
      <c r="C607" s="1060" t="s">
        <v>2968</v>
      </c>
      <c r="D607" s="822"/>
      <c r="E607" s="822"/>
      <c r="F607" s="822"/>
      <c r="G607" s="822"/>
      <c r="H607" s="822"/>
    </row>
    <row r="608" spans="1:8" ht="12.75" x14ac:dyDescent="0.2">
      <c r="A608" s="820">
        <v>604</v>
      </c>
      <c r="B608" s="869" t="str">
        <f t="shared" si="9"/>
        <v>Embedded emissions covered by the carbon price</v>
      </c>
      <c r="C608" s="869" t="s">
        <v>635</v>
      </c>
      <c r="D608" s="822"/>
      <c r="E608" s="822"/>
      <c r="F608" s="822"/>
      <c r="G608" s="822"/>
      <c r="H608" s="822"/>
    </row>
    <row r="609" spans="1:8" ht="12.75" x14ac:dyDescent="0.2">
      <c r="A609" s="820">
        <v>605</v>
      </c>
      <c r="B609" s="869" t="str">
        <f t="shared" si="9"/>
        <v>Embedded emissions covered by rebate</v>
      </c>
      <c r="C609" s="869" t="s">
        <v>2759</v>
      </c>
      <c r="D609" s="822"/>
      <c r="E609" s="822"/>
      <c r="F609" s="822"/>
      <c r="G609" s="822"/>
      <c r="H609" s="822"/>
    </row>
    <row r="610" spans="1:8" x14ac:dyDescent="0.2">
      <c r="A610" s="820">
        <v>606</v>
      </c>
      <c r="B610" s="1061" t="str">
        <f t="shared" si="9"/>
        <v>Example process A</v>
      </c>
      <c r="C610" s="1061" t="s">
        <v>2887</v>
      </c>
      <c r="D610" s="822"/>
      <c r="E610" s="822"/>
      <c r="F610" s="822"/>
      <c r="G610" s="822"/>
      <c r="H610" s="822"/>
    </row>
    <row r="611" spans="1:8" x14ac:dyDescent="0.2">
      <c r="A611" s="820">
        <v>607</v>
      </c>
      <c r="B611" s="1061" t="str">
        <f t="shared" si="9"/>
        <v>Iron or steel products</v>
      </c>
      <c r="C611" s="1061" t="s">
        <v>261</v>
      </c>
      <c r="D611" s="822"/>
      <c r="E611" s="822"/>
      <c r="F611" s="822"/>
      <c r="G611" s="822"/>
      <c r="H611" s="822"/>
    </row>
    <row r="612" spans="1:8"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x14ac:dyDescent="0.2">
      <c r="A613" s="820">
        <v>609</v>
      </c>
      <c r="B613" s="1063" t="str">
        <f t="shared" si="9"/>
        <v>Example name A</v>
      </c>
      <c r="C613" s="1063" t="s">
        <v>2888</v>
      </c>
      <c r="D613" s="822"/>
      <c r="E613" s="822"/>
      <c r="F613" s="822"/>
      <c r="G613" s="822"/>
      <c r="H613" s="822"/>
    </row>
    <row r="614" spans="1:8" x14ac:dyDescent="0.2">
      <c r="A614" s="820">
        <v>610</v>
      </c>
      <c r="B614" s="1063" t="str">
        <f t="shared" si="9"/>
        <v>tCO2e/t</v>
      </c>
      <c r="C614" s="1063" t="s">
        <v>2886</v>
      </c>
      <c r="D614" s="822"/>
      <c r="E614" s="822"/>
      <c r="F614" s="822"/>
      <c r="G614" s="822"/>
      <c r="H614" s="822"/>
    </row>
    <row r="615" spans="1:8" x14ac:dyDescent="0.2">
      <c r="A615" s="820">
        <v>611</v>
      </c>
      <c r="B615" s="1063" t="str">
        <f t="shared" si="9"/>
        <v>Coal or coke</v>
      </c>
      <c r="C615" s="1063" t="s">
        <v>302</v>
      </c>
      <c r="D615" s="822"/>
      <c r="E615" s="822"/>
      <c r="F615" s="822"/>
      <c r="G615" s="822"/>
      <c r="H615" s="822"/>
    </row>
    <row r="616" spans="1:8" ht="12.75" x14ac:dyDescent="0.2">
      <c r="A616" s="820">
        <v>612</v>
      </c>
      <c r="B616" s="1064" t="str">
        <f t="shared" si="9"/>
        <v>tax</v>
      </c>
      <c r="C616" s="1064" t="s">
        <v>605</v>
      </c>
      <c r="D616" s="822"/>
      <c r="E616" s="822"/>
      <c r="F616" s="822"/>
      <c r="G616" s="822"/>
      <c r="H616" s="822"/>
    </row>
    <row r="617" spans="1:8" ht="12.75" x14ac:dyDescent="0.2">
      <c r="A617" s="820">
        <v>613</v>
      </c>
      <c r="B617" s="1064" t="str">
        <f t="shared" si="9"/>
        <v>USD</v>
      </c>
      <c r="C617" s="1064" t="s">
        <v>603</v>
      </c>
      <c r="D617" s="822"/>
      <c r="E617" s="822"/>
      <c r="F617" s="822"/>
      <c r="G617" s="822"/>
      <c r="H617" s="822"/>
    </row>
    <row r="618" spans="1:8" ht="13.5" thickBot="1" x14ac:dyDescent="0.25">
      <c r="A618" s="820">
        <v>614</v>
      </c>
      <c r="B618" s="1065" t="str">
        <f t="shared" si="9"/>
        <v>USD/t</v>
      </c>
      <c r="C618" s="1065" t="s">
        <v>3064</v>
      </c>
      <c r="D618" s="822"/>
      <c r="E618" s="822"/>
      <c r="F618" s="822"/>
      <c r="G618" s="822"/>
      <c r="H618" s="822"/>
    </row>
    <row r="619" spans="1:8" ht="13.5" thickBot="1" x14ac:dyDescent="0.3">
      <c r="A619" s="820">
        <v>615</v>
      </c>
      <c r="B619" s="1006" t="str">
        <f t="shared" si="9"/>
        <v>Communication with reporting declarants</v>
      </c>
      <c r="C619" s="1006" t="s">
        <v>3885</v>
      </c>
      <c r="D619" s="822"/>
      <c r="E619" s="822"/>
      <c r="F619" s="822"/>
      <c r="G619" s="822"/>
      <c r="H619" s="822"/>
    </row>
    <row r="620" spans="1:8" x14ac:dyDescent="0.25">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75" x14ac:dyDescent="0.25">
      <c r="A621" s="820">
        <v>617</v>
      </c>
      <c r="B621" s="311" t="str">
        <f t="shared" si="9"/>
        <v>Summary of the installation and production processes</v>
      </c>
      <c r="C621" s="311" t="s">
        <v>2969</v>
      </c>
      <c r="D621" s="822"/>
      <c r="E621" s="822"/>
      <c r="F621" s="822"/>
      <c r="G621" s="822"/>
      <c r="H621" s="822"/>
    </row>
    <row r="622" spans="1:8" ht="15" x14ac:dyDescent="0.25">
      <c r="A622" s="820">
        <v>618</v>
      </c>
      <c r="B622" s="1055" t="str">
        <f t="shared" si="9"/>
        <v>Installation details</v>
      </c>
      <c r="C622" s="1055" t="s">
        <v>2978</v>
      </c>
      <c r="D622" s="822"/>
      <c r="E622" s="822"/>
      <c r="F622" s="822"/>
      <c r="G622" s="822"/>
      <c r="H622" s="822"/>
    </row>
    <row r="623" spans="1:8" ht="15" x14ac:dyDescent="0.25">
      <c r="A623" s="820">
        <v>619</v>
      </c>
      <c r="B623" s="1055" t="str">
        <f t="shared" si="9"/>
        <v>Summary of the production processes and production routes, where relevant</v>
      </c>
      <c r="C623" s="1055" t="s">
        <v>2970</v>
      </c>
      <c r="D623" s="822"/>
      <c r="E623" s="822"/>
      <c r="F623" s="822"/>
      <c r="G623" s="822"/>
      <c r="H623" s="822"/>
    </row>
    <row r="624" spans="1:8" ht="12.75" x14ac:dyDescent="0.25">
      <c r="A624" s="820">
        <v>620</v>
      </c>
      <c r="B624" s="617" t="str">
        <f t="shared" si="9"/>
        <v>Total direct emissions during reporting period:</v>
      </c>
      <c r="C624" s="617" t="s">
        <v>2983</v>
      </c>
      <c r="D624" s="822"/>
      <c r="E624" s="822"/>
      <c r="F624" s="822"/>
      <c r="G624" s="822"/>
      <c r="H624" s="822"/>
    </row>
    <row r="625" spans="1:8" ht="12.75" x14ac:dyDescent="0.25">
      <c r="A625" s="820">
        <v>621</v>
      </c>
      <c r="B625" s="1066" t="str">
        <f t="shared" si="9"/>
        <v>Total indirect emissions during reporting period:</v>
      </c>
      <c r="C625" s="1066" t="s">
        <v>2984</v>
      </c>
      <c r="D625" s="822"/>
      <c r="E625" s="822"/>
      <c r="F625" s="822"/>
      <c r="G625" s="822"/>
      <c r="H625" s="822"/>
    </row>
    <row r="626" spans="1:8" ht="12.75" x14ac:dyDescent="0.25">
      <c r="A626" s="820">
        <v>622</v>
      </c>
      <c r="B626" s="618" t="str">
        <f t="shared" si="9"/>
        <v>Total emissions during reporting period:</v>
      </c>
      <c r="C626" s="618" t="s">
        <v>2985</v>
      </c>
      <c r="D626" s="822"/>
      <c r="E626" s="822"/>
      <c r="F626" s="822"/>
      <c r="G626" s="822"/>
      <c r="H626" s="822"/>
    </row>
    <row r="627" spans="1:8" ht="12.75" x14ac:dyDescent="0.25">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x14ac:dyDescent="0.25">
      <c r="A628" s="820">
        <v>624</v>
      </c>
      <c r="B628" s="221" t="str">
        <f t="shared" si="9"/>
        <v>Share of precursor consumed, per unit of good produced</v>
      </c>
      <c r="C628" s="221" t="s">
        <v>202</v>
      </c>
      <c r="D628" s="822"/>
      <c r="E628" s="822"/>
      <c r="F628" s="822"/>
      <c r="G628" s="822"/>
      <c r="H628" s="822"/>
    </row>
    <row r="629" spans="1:8" x14ac:dyDescent="0.25">
      <c r="A629" s="820">
        <v>625</v>
      </c>
      <c r="B629" s="221" t="str">
        <f t="shared" si="9"/>
        <v>Share of purchased precursor consumed, per unit of good produced</v>
      </c>
      <c r="C629" s="221" t="s">
        <v>590</v>
      </c>
      <c r="D629" s="822"/>
      <c r="E629" s="822"/>
      <c r="F629" s="822"/>
      <c r="G629" s="822"/>
      <c r="H629" s="822"/>
    </row>
    <row r="630" spans="1:8" x14ac:dyDescent="0.25">
      <c r="A630" s="820">
        <v>626</v>
      </c>
      <c r="B630" s="221" t="str">
        <f t="shared" si="9"/>
        <v>Precursors</v>
      </c>
      <c r="C630" s="221" t="s">
        <v>589</v>
      </c>
      <c r="D630" s="822"/>
      <c r="E630" s="822"/>
      <c r="F630" s="822"/>
      <c r="G630" s="822"/>
      <c r="H630" s="822"/>
    </row>
    <row r="631" spans="1:8" ht="12.75" x14ac:dyDescent="0.2">
      <c r="A631" s="820">
        <v>627</v>
      </c>
      <c r="B631" s="1067" t="str">
        <f t="shared" si="9"/>
        <v>n.a.</v>
      </c>
      <c r="C631" s="1067" t="s">
        <v>28</v>
      </c>
      <c r="D631" s="822"/>
      <c r="E631" s="822"/>
      <c r="F631" s="822"/>
      <c r="G631" s="822"/>
      <c r="H631" s="822"/>
    </row>
    <row r="632" spans="1:8" ht="12.75" x14ac:dyDescent="0.2">
      <c r="A632" s="820">
        <v>628</v>
      </c>
      <c r="B632" s="1067" t="str">
        <f t="shared" si="9"/>
        <v>tonnes</v>
      </c>
      <c r="C632" s="1067" t="s">
        <v>40</v>
      </c>
      <c r="D632" s="822"/>
      <c r="E632" s="822"/>
      <c r="F632" s="822"/>
      <c r="G632" s="822"/>
      <c r="H632" s="822"/>
    </row>
    <row r="633" spans="1:8" ht="12.75" x14ac:dyDescent="0.25">
      <c r="A633" s="820">
        <v>629</v>
      </c>
      <c r="B633" s="637" t="str">
        <f t="shared" si="9"/>
        <v>1000Nm3</v>
      </c>
      <c r="C633" s="637" t="s">
        <v>155</v>
      </c>
      <c r="D633" s="822"/>
      <c r="E633" s="822"/>
      <c r="F633" s="822"/>
      <c r="G633" s="822"/>
      <c r="H633" s="822"/>
    </row>
    <row r="634" spans="1:8" ht="12.75" x14ac:dyDescent="0.2">
      <c r="A634" s="820">
        <v>630</v>
      </c>
      <c r="B634" s="1032" t="str">
        <f t="shared" si="9"/>
        <v>None</v>
      </c>
      <c r="C634" s="1032" t="s">
        <v>2761</v>
      </c>
      <c r="D634" s="822"/>
      <c r="E634" s="822"/>
      <c r="F634" s="822"/>
      <c r="G634" s="822"/>
      <c r="H634" s="822"/>
    </row>
    <row r="635" spans="1:8" ht="12.75" x14ac:dyDescent="0.25">
      <c r="A635" s="820">
        <v>631</v>
      </c>
      <c r="B635" s="637" t="str">
        <f t="shared" si="9"/>
        <v>National Emissions Trading System</v>
      </c>
      <c r="C635" s="637" t="s">
        <v>4219</v>
      </c>
      <c r="D635" s="822"/>
      <c r="E635" s="822"/>
      <c r="F635" s="822"/>
      <c r="G635" s="822"/>
      <c r="H635" s="822"/>
    </row>
    <row r="636" spans="1:8" ht="12.75" x14ac:dyDescent="0.25">
      <c r="A636" s="820">
        <v>632</v>
      </c>
      <c r="B636" s="637" t="str">
        <f t="shared" si="9"/>
        <v>Carbon Tax</v>
      </c>
      <c r="C636" s="637" t="s">
        <v>4220</v>
      </c>
      <c r="D636" s="822"/>
      <c r="E636" s="822"/>
      <c r="F636" s="822"/>
      <c r="G636" s="822"/>
      <c r="H636" s="822"/>
    </row>
    <row r="637" spans="1:8" ht="12.75" x14ac:dyDescent="0.25">
      <c r="A637" s="820">
        <v>633</v>
      </c>
      <c r="B637" s="637" t="str">
        <f t="shared" si="9"/>
        <v>Combination</v>
      </c>
      <c r="C637" s="637" t="s">
        <v>2762</v>
      </c>
      <c r="D637" s="822"/>
      <c r="E637" s="822"/>
      <c r="F637" s="822"/>
      <c r="G637" s="822"/>
      <c r="H637" s="822"/>
    </row>
    <row r="638" spans="1:8" ht="12.75" x14ac:dyDescent="0.25">
      <c r="A638" s="820">
        <v>634</v>
      </c>
      <c r="B638" s="637" t="str">
        <f t="shared" si="9"/>
        <v>Other</v>
      </c>
      <c r="C638" s="637" t="s">
        <v>2763</v>
      </c>
      <c r="D638" s="822"/>
      <c r="E638" s="822"/>
      <c r="F638" s="822"/>
      <c r="G638" s="822"/>
      <c r="H638" s="822"/>
    </row>
    <row r="639" spans="1:8" ht="12.75" x14ac:dyDescent="0.25">
      <c r="A639" s="820">
        <v>635</v>
      </c>
      <c r="B639" s="637" t="str">
        <f t="shared" si="9"/>
        <v>Free allocation</v>
      </c>
      <c r="C639" s="637" t="s">
        <v>2752</v>
      </c>
      <c r="D639" s="822"/>
      <c r="E639" s="822"/>
      <c r="F639" s="822"/>
      <c r="G639" s="822"/>
      <c r="H639" s="822"/>
    </row>
    <row r="640" spans="1:8" ht="12.75" x14ac:dyDescent="0.25">
      <c r="A640" s="820">
        <v>636</v>
      </c>
      <c r="B640" s="637" t="str">
        <f t="shared" si="9"/>
        <v>Financial compensation</v>
      </c>
      <c r="C640" s="637" t="s">
        <v>2753</v>
      </c>
      <c r="D640" s="822"/>
      <c r="E640" s="822"/>
      <c r="F640" s="822"/>
      <c r="G640" s="822"/>
      <c r="H640" s="822"/>
    </row>
    <row r="641" spans="1:8" ht="12.75" x14ac:dyDescent="0.25">
      <c r="A641" s="820">
        <v>637</v>
      </c>
      <c r="B641" s="637" t="str">
        <f t="shared" si="9"/>
        <v>Tax deduction</v>
      </c>
      <c r="C641" s="637" t="s">
        <v>2754</v>
      </c>
      <c r="D641" s="822"/>
      <c r="E641" s="822"/>
      <c r="F641" s="822"/>
      <c r="G641" s="822"/>
      <c r="H641" s="822"/>
    </row>
    <row r="642" spans="1:8" ht="12.75" x14ac:dyDescent="0.2">
      <c r="A642" s="820">
        <v>638</v>
      </c>
      <c r="B642" s="1068" t="str">
        <f t="shared" si="9"/>
        <v>h/year</v>
      </c>
      <c r="C642" s="1068" t="s">
        <v>4190</v>
      </c>
      <c r="D642" s="822"/>
      <c r="E642" s="822"/>
      <c r="F642" s="822"/>
      <c r="G642" s="822"/>
      <c r="H642" s="822"/>
    </row>
    <row r="643" spans="1:8" ht="12.75" x14ac:dyDescent="0.2">
      <c r="A643" s="820">
        <v>639</v>
      </c>
      <c r="B643" s="1068" t="str">
        <f t="shared" si="9"/>
        <v>1000Nm3/h</v>
      </c>
      <c r="C643" s="1068" t="s">
        <v>110</v>
      </c>
      <c r="D643" s="822"/>
      <c r="E643" s="822"/>
      <c r="F643" s="822"/>
      <c r="G643" s="822"/>
      <c r="H643" s="822"/>
    </row>
    <row r="644" spans="1:8" ht="12.75" x14ac:dyDescent="0.2">
      <c r="A644" s="820">
        <v>640</v>
      </c>
      <c r="B644" s="1068" t="str">
        <f t="shared" si="9"/>
        <v>g/Nm3</v>
      </c>
      <c r="C644" s="1068" t="s">
        <v>109</v>
      </c>
      <c r="D644" s="822"/>
      <c r="E644" s="822"/>
      <c r="F644" s="822"/>
      <c r="G644" s="822"/>
      <c r="H644" s="822"/>
    </row>
    <row r="645" spans="1:8" ht="12.75" x14ac:dyDescent="0.2">
      <c r="A645" s="820">
        <v>641</v>
      </c>
      <c r="B645" s="1068" t="str">
        <f t="shared" si="9"/>
        <v>Year</v>
      </c>
      <c r="C645" s="1068" t="s">
        <v>265</v>
      </c>
      <c r="D645" s="822"/>
      <c r="E645" s="822"/>
      <c r="F645" s="822"/>
      <c r="G645" s="822"/>
      <c r="H645" s="822"/>
    </row>
    <row r="646" spans="1:8" ht="12.75" x14ac:dyDescent="0.2">
      <c r="A646" s="820">
        <v>642</v>
      </c>
      <c r="B646" s="1032" t="str">
        <f t="shared" ref="B646:B709" si="10">IFERROR(INDEX(C646:M646,$A$3-2),$C646)</f>
        <v>Process emissions</v>
      </c>
      <c r="C646" s="1032" t="s">
        <v>339</v>
      </c>
      <c r="D646" s="822"/>
      <c r="E646" s="822"/>
      <c r="F646" s="822"/>
      <c r="G646" s="822"/>
      <c r="H646" s="822"/>
    </row>
    <row r="647" spans="1:8" ht="12.75" x14ac:dyDescent="0.2">
      <c r="A647" s="820">
        <v>643</v>
      </c>
      <c r="B647" s="1032" t="str">
        <f t="shared" si="10"/>
        <v>Slope method</v>
      </c>
      <c r="C647" s="1032" t="s">
        <v>351</v>
      </c>
      <c r="D647" s="822"/>
      <c r="E647" s="822"/>
      <c r="F647" s="822"/>
      <c r="G647" s="822"/>
      <c r="H647" s="822"/>
    </row>
    <row r="648" spans="1:8" ht="12.75" x14ac:dyDescent="0.25">
      <c r="A648" s="820">
        <v>644</v>
      </c>
      <c r="B648" s="637" t="str">
        <f t="shared" si="10"/>
        <v>Natural gas</v>
      </c>
      <c r="C648" s="637" t="s">
        <v>303</v>
      </c>
      <c r="D648" s="822"/>
      <c r="E648" s="822"/>
      <c r="F648" s="822"/>
      <c r="G648" s="822"/>
      <c r="H648" s="822"/>
    </row>
    <row r="649" spans="1:8" ht="12.75" x14ac:dyDescent="0.25">
      <c r="A649" s="820">
        <v>645</v>
      </c>
      <c r="B649" s="637" t="str">
        <f t="shared" si="10"/>
        <v>Biogas</v>
      </c>
      <c r="C649" s="637" t="s">
        <v>304</v>
      </c>
      <c r="D649" s="822"/>
      <c r="E649" s="822"/>
      <c r="F649" s="822"/>
      <c r="G649" s="822"/>
      <c r="H649" s="822"/>
    </row>
    <row r="650" spans="1:8" ht="12.75" x14ac:dyDescent="0.25">
      <c r="A650" s="820">
        <v>646</v>
      </c>
      <c r="B650" s="637" t="str">
        <f t="shared" si="10"/>
        <v>Hydrogen</v>
      </c>
      <c r="C650" s="637" t="s">
        <v>14</v>
      </c>
      <c r="D650" s="822"/>
      <c r="E650" s="822"/>
      <c r="F650" s="822"/>
      <c r="G650" s="822"/>
      <c r="H650" s="822"/>
    </row>
    <row r="651" spans="1:8" ht="12.75" x14ac:dyDescent="0.25">
      <c r="A651" s="820">
        <v>647</v>
      </c>
      <c r="B651" s="637" t="str">
        <f t="shared" si="10"/>
        <v>Missing! Please assign ALL relevant aggregated goods categories to a 'production process'.</v>
      </c>
      <c r="C651" s="637" t="s">
        <v>576</v>
      </c>
      <c r="D651" s="822"/>
      <c r="E651" s="822"/>
      <c r="F651" s="822"/>
      <c r="G651" s="822"/>
      <c r="H651" s="822"/>
    </row>
    <row r="652" spans="1:8" ht="12.75" x14ac:dyDescent="0.2">
      <c r="A652" s="820">
        <v>648</v>
      </c>
      <c r="B652" s="1032" t="str">
        <f t="shared" si="10"/>
        <v>Click here to proceed to next sheet</v>
      </c>
      <c r="C652" s="1032" t="s">
        <v>395</v>
      </c>
      <c r="D652" s="822"/>
      <c r="E652" s="822"/>
      <c r="F652" s="822"/>
      <c r="G652" s="822"/>
      <c r="H652" s="822"/>
    </row>
    <row r="653" spans="1:8" ht="12.75" x14ac:dyDescent="0.2">
      <c r="A653" s="820">
        <v>649</v>
      </c>
      <c r="B653" s="1032" t="str">
        <f t="shared" si="10"/>
        <v>Only direct production</v>
      </c>
      <c r="C653" s="1032" t="s">
        <v>280</v>
      </c>
      <c r="D653" s="822"/>
      <c r="E653" s="822"/>
      <c r="F653" s="822"/>
      <c r="G653" s="822"/>
      <c r="H653" s="822"/>
    </row>
    <row r="654" spans="1:8" ht="12.75" x14ac:dyDescent="0.2">
      <c r="A654" s="820">
        <v>650</v>
      </c>
      <c r="B654" s="1032" t="str">
        <f t="shared" si="10"/>
        <v>All production routes</v>
      </c>
      <c r="C654" s="1032" t="s">
        <v>136</v>
      </c>
      <c r="D654" s="822"/>
      <c r="E654" s="822"/>
      <c r="F654" s="822"/>
      <c r="G654" s="822"/>
      <c r="H654" s="822"/>
    </row>
    <row r="655" spans="1:8" ht="12.75" x14ac:dyDescent="0.2">
      <c r="A655" s="820">
        <v>651</v>
      </c>
      <c r="B655" s="1032" t="str">
        <f t="shared" si="10"/>
        <v>Please select…</v>
      </c>
      <c r="C655" s="1032" t="s">
        <v>429</v>
      </c>
      <c r="D655" s="822"/>
      <c r="E655" s="822"/>
      <c r="F655" s="822"/>
      <c r="G655" s="822"/>
      <c r="H655" s="822"/>
    </row>
    <row r="656" spans="1:8" ht="12.75" x14ac:dyDescent="0.2">
      <c r="A656" s="820">
        <v>652</v>
      </c>
      <c r="B656" s="1032" t="str">
        <f t="shared" si="10"/>
        <v>Incomplete!</v>
      </c>
      <c r="C656" s="1032" t="s">
        <v>2721</v>
      </c>
      <c r="D656" s="822"/>
      <c r="E656" s="822"/>
      <c r="F656" s="822"/>
      <c r="G656" s="822"/>
      <c r="H656" s="822"/>
    </row>
    <row r="657" spans="1:8" ht="12.75" x14ac:dyDescent="0.2">
      <c r="A657" s="820">
        <v>653</v>
      </c>
      <c r="B657" s="1032" t="str">
        <f t="shared" si="10"/>
        <v>Duplicate!</v>
      </c>
      <c r="C657" s="1032" t="s">
        <v>2804</v>
      </c>
      <c r="D657" s="822"/>
      <c r="E657" s="822"/>
      <c r="F657" s="822"/>
      <c r="G657" s="822"/>
      <c r="H657" s="822"/>
    </row>
    <row r="658" spans="1:8" ht="12.75" x14ac:dyDescent="0.2">
      <c r="A658" s="820">
        <v>654</v>
      </c>
      <c r="B658" s="1032" t="str">
        <f t="shared" si="10"/>
        <v>Measured</v>
      </c>
      <c r="C658" s="1032" t="s">
        <v>2765</v>
      </c>
      <c r="D658" s="822"/>
      <c r="E658" s="822"/>
      <c r="F658" s="822"/>
      <c r="G658" s="822"/>
      <c r="H658" s="822"/>
    </row>
    <row r="659" spans="1:8" ht="12.75" x14ac:dyDescent="0.2">
      <c r="A659" s="820">
        <v>655</v>
      </c>
      <c r="B659" s="1032" t="str">
        <f t="shared" si="10"/>
        <v>Default</v>
      </c>
      <c r="C659" s="1032" t="s">
        <v>2766</v>
      </c>
      <c r="D659" s="822"/>
      <c r="E659" s="822"/>
      <c r="F659" s="822"/>
      <c r="G659" s="822"/>
      <c r="H659" s="822"/>
    </row>
    <row r="660" spans="1:8" ht="12.75" x14ac:dyDescent="0.2">
      <c r="A660" s="820">
        <v>656</v>
      </c>
      <c r="B660" s="1032" t="str">
        <f t="shared" si="10"/>
        <v>Please click on this link for further guidance on how to complete this section.</v>
      </c>
      <c r="C660" s="1032" t="s">
        <v>2883</v>
      </c>
      <c r="D660" s="822"/>
      <c r="E660" s="822"/>
      <c r="F660" s="822"/>
      <c r="G660" s="822"/>
      <c r="H660" s="822"/>
    </row>
    <row r="661" spans="1:8" ht="12.75" x14ac:dyDescent="0.2">
      <c r="A661" s="820">
        <v>657</v>
      </c>
      <c r="B661" s="1032" t="str">
        <f t="shared" si="10"/>
        <v>Please click on this link if you want to go back to the relevant section for data entry.</v>
      </c>
      <c r="C661" s="1032" t="s">
        <v>2770</v>
      </c>
      <c r="D661" s="822"/>
      <c r="E661" s="822"/>
      <c r="F661" s="822"/>
      <c r="G661" s="822"/>
      <c r="H661" s="822"/>
    </row>
    <row r="662" spans="1:8" ht="12.75" x14ac:dyDescent="0.2">
      <c r="A662" s="820">
        <v>658</v>
      </c>
      <c r="B662" s="1032" t="str">
        <f t="shared" si="10"/>
        <v>Please click on this link to go to the "tool for calculation of the carbon price due".</v>
      </c>
      <c r="C662" s="1032" t="s">
        <v>3026</v>
      </c>
      <c r="D662" s="822"/>
      <c r="E662" s="822"/>
      <c r="F662" s="822"/>
      <c r="G662" s="822"/>
      <c r="H662" s="822"/>
    </row>
    <row r="663" spans="1:8" ht="12.75" x14ac:dyDescent="0.2">
      <c r="A663" s="820">
        <v>659</v>
      </c>
      <c r="B663" s="1032" t="str">
        <f t="shared" si="10"/>
        <v>Please click on this link to go to the "CHP Tool for attributing emissions between heat and electricity".</v>
      </c>
      <c r="C663" s="1032" t="s">
        <v>2929</v>
      </c>
      <c r="D663" s="822"/>
      <c r="E663" s="822"/>
      <c r="F663" s="822"/>
      <c r="G663" s="822"/>
      <c r="H663" s="822"/>
    </row>
    <row r="664" spans="1:8" ht="12.75" x14ac:dyDescent="0.2">
      <c r="A664" s="820">
        <v>660</v>
      </c>
      <c r="B664" s="377" t="str">
        <f t="shared" si="10"/>
        <v>Cement</v>
      </c>
      <c r="C664" s="377" t="s">
        <v>2724</v>
      </c>
      <c r="D664" s="822"/>
      <c r="E664" s="822"/>
      <c r="F664" s="822"/>
      <c r="G664" s="822"/>
      <c r="H664" s="822"/>
    </row>
    <row r="665" spans="1:8" ht="12.75" x14ac:dyDescent="0.2">
      <c r="A665" s="820">
        <v>661</v>
      </c>
      <c r="B665" s="377" t="str">
        <f t="shared" si="10"/>
        <v>Cement clinker</v>
      </c>
      <c r="C665" s="377" t="s">
        <v>12</v>
      </c>
      <c r="D665" s="822"/>
      <c r="E665" s="822"/>
      <c r="F665" s="822"/>
      <c r="G665" s="822"/>
      <c r="H665" s="822"/>
    </row>
    <row r="666" spans="1:8" ht="12.75" x14ac:dyDescent="0.2">
      <c r="A666" s="820">
        <v>662</v>
      </c>
      <c r="B666" s="377" t="str">
        <f t="shared" si="10"/>
        <v xml:space="preserve">Calcined clays </v>
      </c>
      <c r="C666" s="377" t="s">
        <v>24</v>
      </c>
      <c r="D666" s="822"/>
      <c r="E666" s="822"/>
      <c r="F666" s="822"/>
      <c r="G666" s="822"/>
      <c r="H666" s="822"/>
    </row>
    <row r="667" spans="1:8" ht="12.75" x14ac:dyDescent="0.2">
      <c r="A667" s="820">
        <v>663</v>
      </c>
      <c r="B667" s="377" t="str">
        <f t="shared" si="10"/>
        <v>Aluminous cement</v>
      </c>
      <c r="C667" s="377" t="s">
        <v>18</v>
      </c>
      <c r="D667" s="822"/>
      <c r="E667" s="822"/>
      <c r="F667" s="822"/>
      <c r="G667" s="822"/>
      <c r="H667" s="822"/>
    </row>
    <row r="668" spans="1:8" ht="12.75" x14ac:dyDescent="0.2">
      <c r="A668" s="820">
        <v>664</v>
      </c>
      <c r="B668" s="377" t="str">
        <f t="shared" si="10"/>
        <v>Crude steel</v>
      </c>
      <c r="C668" s="377" t="s">
        <v>13</v>
      </c>
      <c r="D668" s="822"/>
      <c r="E668" s="822"/>
      <c r="F668" s="822"/>
      <c r="G668" s="822"/>
      <c r="H668" s="822"/>
    </row>
    <row r="669" spans="1:8" ht="12.75" x14ac:dyDescent="0.2">
      <c r="A669" s="820">
        <v>665</v>
      </c>
      <c r="B669" s="377" t="str">
        <f t="shared" si="10"/>
        <v>Basic oxygen steelmaking</v>
      </c>
      <c r="C669" s="377" t="s">
        <v>2731</v>
      </c>
      <c r="D669" s="822"/>
      <c r="E669" s="822"/>
      <c r="F669" s="822"/>
      <c r="G669" s="822"/>
      <c r="H669" s="822"/>
    </row>
    <row r="670" spans="1:8" ht="12.75" x14ac:dyDescent="0.2">
      <c r="A670" s="820">
        <v>666</v>
      </c>
      <c r="B670" s="377" t="str">
        <f t="shared" si="10"/>
        <v>Electric arc furnace</v>
      </c>
      <c r="C670" s="377" t="s">
        <v>2732</v>
      </c>
      <c r="D670" s="822"/>
      <c r="E670" s="822"/>
      <c r="F670" s="822"/>
      <c r="G670" s="822"/>
      <c r="H670" s="822"/>
    </row>
    <row r="671" spans="1:8" ht="12.75" x14ac:dyDescent="0.2">
      <c r="A671" s="820">
        <v>667</v>
      </c>
      <c r="B671" s="377" t="str">
        <f t="shared" si="10"/>
        <v>Other production routes</v>
      </c>
      <c r="C671" s="377" t="s">
        <v>137</v>
      </c>
      <c r="D671" s="822"/>
      <c r="E671" s="822"/>
      <c r="F671" s="822"/>
      <c r="G671" s="822"/>
      <c r="H671" s="822"/>
    </row>
    <row r="672" spans="1:8" ht="12.75" x14ac:dyDescent="0.2">
      <c r="A672" s="820">
        <v>668</v>
      </c>
      <c r="B672" s="377" t="str">
        <f t="shared" si="10"/>
        <v>Unknown production routes</v>
      </c>
      <c r="C672" s="377" t="s">
        <v>203</v>
      </c>
      <c r="D672" s="822"/>
      <c r="E672" s="822"/>
      <c r="F672" s="822"/>
      <c r="G672" s="822"/>
      <c r="H672" s="822"/>
    </row>
    <row r="673" spans="1:8" ht="12.75" x14ac:dyDescent="0.2">
      <c r="A673" s="820">
        <v>669</v>
      </c>
      <c r="B673" s="377" t="str">
        <f t="shared" si="10"/>
        <v>Direct reduced iron</v>
      </c>
      <c r="C673" s="377" t="s">
        <v>295</v>
      </c>
      <c r="D673" s="822"/>
      <c r="E673" s="822"/>
      <c r="F673" s="822"/>
      <c r="G673" s="822"/>
      <c r="H673" s="822"/>
    </row>
    <row r="674" spans="1:8" ht="12.75" x14ac:dyDescent="0.2">
      <c r="A674" s="820">
        <v>670</v>
      </c>
      <c r="B674" s="377" t="str">
        <f t="shared" si="10"/>
        <v>Pig iron</v>
      </c>
      <c r="C674" s="377" t="s">
        <v>2730</v>
      </c>
      <c r="D674" s="822"/>
      <c r="E674" s="822"/>
      <c r="F674" s="822"/>
      <c r="G674" s="822"/>
      <c r="H674" s="822"/>
    </row>
    <row r="675" spans="1:8" ht="12.75" x14ac:dyDescent="0.2">
      <c r="A675" s="820">
        <v>671</v>
      </c>
      <c r="B675" s="377" t="str">
        <f t="shared" si="10"/>
        <v>Blast furnace route</v>
      </c>
      <c r="C675" s="377" t="s">
        <v>19</v>
      </c>
      <c r="D675" s="822"/>
      <c r="E675" s="822"/>
      <c r="F675" s="822"/>
      <c r="G675" s="822"/>
      <c r="H675" s="822"/>
    </row>
    <row r="676" spans="1:8" ht="12.75" x14ac:dyDescent="0.2">
      <c r="A676" s="820">
        <v>672</v>
      </c>
      <c r="B676" s="377" t="str">
        <f t="shared" si="10"/>
        <v>Smelting reduction</v>
      </c>
      <c r="C676" s="377" t="s">
        <v>20</v>
      </c>
      <c r="D676" s="822"/>
      <c r="E676" s="822"/>
      <c r="F676" s="822"/>
      <c r="G676" s="822"/>
      <c r="H676" s="822"/>
    </row>
    <row r="677" spans="1:8" ht="12.75" x14ac:dyDescent="0.2">
      <c r="A677" s="820">
        <v>673</v>
      </c>
      <c r="B677" s="377" t="str">
        <f t="shared" si="10"/>
        <v>Alloys (FeMn, FeCr, FeNi)</v>
      </c>
      <c r="C677" s="377" t="s">
        <v>21</v>
      </c>
      <c r="D677" s="822"/>
      <c r="E677" s="822"/>
      <c r="F677" s="822"/>
      <c r="G677" s="822"/>
      <c r="H677" s="822"/>
    </row>
    <row r="678" spans="1:8" ht="12.75" x14ac:dyDescent="0.2">
      <c r="A678" s="820">
        <v>674</v>
      </c>
      <c r="B678" s="377" t="str">
        <f t="shared" si="10"/>
        <v>Sintered Ore</v>
      </c>
      <c r="C678" s="377" t="s">
        <v>2930</v>
      </c>
      <c r="D678" s="822"/>
      <c r="E678" s="822"/>
      <c r="F678" s="822"/>
      <c r="G678" s="822"/>
      <c r="H678" s="822"/>
    </row>
    <row r="679" spans="1:8" ht="12.75" x14ac:dyDescent="0.2">
      <c r="A679" s="820">
        <v>675</v>
      </c>
      <c r="B679" s="377" t="str">
        <f t="shared" si="10"/>
        <v>Steam reforming and partial oxidation</v>
      </c>
      <c r="C679" s="377" t="s">
        <v>2727</v>
      </c>
      <c r="D679" s="822"/>
      <c r="E679" s="822"/>
      <c r="F679" s="822"/>
      <c r="G679" s="822"/>
      <c r="H679" s="822"/>
    </row>
    <row r="680" spans="1:8" ht="12.75" x14ac:dyDescent="0.2">
      <c r="A680" s="820">
        <v>676</v>
      </c>
      <c r="B680" s="377" t="str">
        <f t="shared" si="10"/>
        <v>Electrolysis of water</v>
      </c>
      <c r="C680" s="377" t="s">
        <v>2725</v>
      </c>
      <c r="D680" s="822"/>
      <c r="E680" s="822"/>
      <c r="F680" s="822"/>
      <c r="G680" s="822"/>
      <c r="H680" s="822"/>
    </row>
    <row r="681" spans="1:8" ht="12.75" x14ac:dyDescent="0.2">
      <c r="A681" s="820">
        <v>677</v>
      </c>
      <c r="B681" s="377" t="str">
        <f t="shared" si="10"/>
        <v>Chlor-Alkali electrolysis and production of chlorates</v>
      </c>
      <c r="C681" s="377" t="s">
        <v>2726</v>
      </c>
      <c r="D681" s="822"/>
      <c r="E681" s="822"/>
      <c r="F681" s="822"/>
      <c r="G681" s="822"/>
      <c r="H681" s="822"/>
    </row>
    <row r="682" spans="1:8" ht="12.75" x14ac:dyDescent="0.2">
      <c r="A682" s="820">
        <v>678</v>
      </c>
      <c r="B682" s="377" t="str">
        <f t="shared" si="10"/>
        <v>Ammonia</v>
      </c>
      <c r="C682" s="377" t="s">
        <v>15</v>
      </c>
      <c r="D682" s="822"/>
      <c r="E682" s="822"/>
      <c r="F682" s="822"/>
      <c r="G682" s="822"/>
      <c r="H682" s="822"/>
    </row>
    <row r="683" spans="1:8" ht="12.75" x14ac:dyDescent="0.2">
      <c r="A683" s="820">
        <v>679</v>
      </c>
      <c r="B683" s="377" t="str">
        <f t="shared" si="10"/>
        <v>Haber-Bosch process with steam reforming of natural gas or biogas</v>
      </c>
      <c r="C683" s="377" t="s">
        <v>2728</v>
      </c>
      <c r="D683" s="822"/>
      <c r="E683" s="822"/>
      <c r="F683" s="822"/>
      <c r="G683" s="822"/>
      <c r="H683" s="822"/>
    </row>
    <row r="684" spans="1:8" ht="12.75" x14ac:dyDescent="0.2">
      <c r="A684" s="820">
        <v>680</v>
      </c>
      <c r="B684" s="377" t="str">
        <f t="shared" si="10"/>
        <v>Haber-Bosch process with gasification of coal or other fuels</v>
      </c>
      <c r="C684" s="377" t="s">
        <v>2729</v>
      </c>
      <c r="D684" s="822"/>
      <c r="E684" s="822"/>
      <c r="F684" s="822"/>
      <c r="G684" s="822"/>
      <c r="H684" s="822"/>
    </row>
    <row r="685" spans="1:8" ht="12.75" x14ac:dyDescent="0.2">
      <c r="A685" s="820">
        <v>681</v>
      </c>
      <c r="B685" s="377" t="str">
        <f t="shared" si="10"/>
        <v>Nitric acid</v>
      </c>
      <c r="C685" s="377" t="s">
        <v>16</v>
      </c>
      <c r="D685" s="822"/>
      <c r="E685" s="822"/>
      <c r="F685" s="822"/>
      <c r="G685" s="822"/>
      <c r="H685" s="822"/>
    </row>
    <row r="686" spans="1:8" ht="12.75" x14ac:dyDescent="0.2">
      <c r="A686" s="820">
        <v>682</v>
      </c>
      <c r="B686" s="377" t="str">
        <f t="shared" si="10"/>
        <v>Urea</v>
      </c>
      <c r="C686" s="377" t="s">
        <v>17</v>
      </c>
      <c r="D686" s="822"/>
      <c r="E686" s="822"/>
      <c r="F686" s="822"/>
      <c r="G686" s="822"/>
      <c r="H686" s="822"/>
    </row>
    <row r="687" spans="1:8" ht="12.75" x14ac:dyDescent="0.2">
      <c r="A687" s="820">
        <v>683</v>
      </c>
      <c r="B687" s="377" t="str">
        <f t="shared" si="10"/>
        <v>Mixed fertilisers</v>
      </c>
      <c r="C687" s="377" t="s">
        <v>4224</v>
      </c>
      <c r="D687" s="822"/>
      <c r="E687" s="822"/>
      <c r="F687" s="822"/>
      <c r="G687" s="822"/>
      <c r="H687" s="822"/>
    </row>
    <row r="688" spans="1:8" ht="12.75" x14ac:dyDescent="0.2">
      <c r="A688" s="820">
        <v>684</v>
      </c>
      <c r="B688" s="377" t="str">
        <f t="shared" si="10"/>
        <v>Aluminium products</v>
      </c>
      <c r="C688" s="377" t="s">
        <v>263</v>
      </c>
      <c r="D688" s="822"/>
      <c r="E688" s="822"/>
      <c r="F688" s="822"/>
      <c r="G688" s="822"/>
      <c r="H688" s="822"/>
    </row>
    <row r="689" spans="1:8" ht="12.75" x14ac:dyDescent="0.2">
      <c r="A689" s="820">
        <v>685</v>
      </c>
      <c r="B689" s="377" t="str">
        <f t="shared" si="10"/>
        <v>Unwrought aluminium</v>
      </c>
      <c r="C689" s="377" t="s">
        <v>262</v>
      </c>
      <c r="D689" s="822"/>
      <c r="E689" s="822"/>
      <c r="F689" s="822"/>
      <c r="G689" s="822"/>
      <c r="H689" s="822"/>
    </row>
    <row r="690" spans="1:8" ht="12.75" x14ac:dyDescent="0.2">
      <c r="A690" s="820">
        <v>686</v>
      </c>
      <c r="B690" s="377" t="str">
        <f t="shared" si="10"/>
        <v>Primary (electrolytic) smelting</v>
      </c>
      <c r="C690" s="377" t="s">
        <v>2733</v>
      </c>
      <c r="D690" s="822"/>
      <c r="E690" s="822"/>
      <c r="F690" s="822"/>
      <c r="G690" s="822"/>
      <c r="H690" s="822"/>
    </row>
    <row r="691" spans="1:8" ht="12.75" x14ac:dyDescent="0.2">
      <c r="A691" s="820">
        <v>687</v>
      </c>
      <c r="B691" s="377" t="str">
        <f t="shared" si="10"/>
        <v>Secondary melting (recycling)</v>
      </c>
      <c r="C691" s="377" t="s">
        <v>22</v>
      </c>
      <c r="D691" s="822"/>
      <c r="E691" s="822"/>
      <c r="F691" s="822"/>
      <c r="G691" s="822"/>
      <c r="H691" s="822"/>
    </row>
    <row r="692" spans="1:8" ht="12.75" x14ac:dyDescent="0.2">
      <c r="A692" s="820">
        <v>688</v>
      </c>
      <c r="B692" s="377" t="str">
        <f t="shared" si="10"/>
        <v>Electricity (export to EU)</v>
      </c>
      <c r="C692" s="377" t="s">
        <v>2957</v>
      </c>
      <c r="D692" s="822"/>
      <c r="E692" s="822"/>
      <c r="F692" s="822"/>
      <c r="G692" s="822"/>
      <c r="H692" s="822"/>
    </row>
    <row r="693" spans="1:8" ht="12.75" x14ac:dyDescent="0.2">
      <c r="A693" s="820">
        <v>689</v>
      </c>
      <c r="B693" s="377" t="str">
        <f t="shared" si="10"/>
        <v>The main reducing agent used</v>
      </c>
      <c r="C693" s="377" t="s">
        <v>300</v>
      </c>
      <c r="D693" s="822"/>
      <c r="E693" s="822"/>
      <c r="F693" s="822"/>
      <c r="G693" s="822"/>
      <c r="H693" s="822"/>
    </row>
    <row r="694" spans="1:8" x14ac:dyDescent="0.2">
      <c r="A694" s="820">
        <v>690</v>
      </c>
      <c r="B694" s="1069" t="str">
        <f t="shared" si="10"/>
        <v>Kaolinic clays (other than kaolin)</v>
      </c>
      <c r="C694" s="1069" t="s">
        <v>655</v>
      </c>
      <c r="D694" s="822"/>
      <c r="E694" s="822"/>
      <c r="F694" s="822"/>
      <c r="G694" s="822"/>
      <c r="H694" s="822"/>
    </row>
    <row r="695" spans="1:8" x14ac:dyDescent="0.2">
      <c r="A695" s="820">
        <v>691</v>
      </c>
      <c r="B695" s="1069" t="str">
        <f t="shared" si="10"/>
        <v>Cement clinkers</v>
      </c>
      <c r="C695" s="1069" t="s">
        <v>658</v>
      </c>
      <c r="D695" s="822"/>
      <c r="E695" s="822"/>
      <c r="F695" s="822"/>
      <c r="G695" s="822"/>
      <c r="H695" s="822"/>
    </row>
    <row r="696" spans="1:8" x14ac:dyDescent="0.2">
      <c r="A696" s="820">
        <v>692</v>
      </c>
      <c r="B696" s="1069" t="str">
        <f t="shared" si="10"/>
        <v>White portland cement, whether or not artificially coloured</v>
      </c>
      <c r="C696" s="1069" t="s">
        <v>661</v>
      </c>
      <c r="D696" s="822"/>
      <c r="E696" s="822"/>
      <c r="F696" s="822"/>
      <c r="G696" s="822"/>
      <c r="H696" s="822"/>
    </row>
    <row r="697" spans="1:8" x14ac:dyDescent="0.2">
      <c r="A697" s="820">
        <v>693</v>
      </c>
      <c r="B697" s="1069" t="str">
        <f t="shared" si="10"/>
        <v>Portland cement (excl. white, whether or not artificially coloured)</v>
      </c>
      <c r="C697" s="1069" t="s">
        <v>664</v>
      </c>
      <c r="D697" s="822"/>
      <c r="E697" s="822"/>
      <c r="F697" s="822"/>
      <c r="G697" s="822"/>
      <c r="H697" s="822"/>
    </row>
    <row r="698" spans="1:8" x14ac:dyDescent="0.2">
      <c r="A698" s="820">
        <v>694</v>
      </c>
      <c r="B698" s="1069" t="str">
        <f t="shared" si="10"/>
        <v>Cement, whether or not coloured (excl. portland cement and aluminous cement)</v>
      </c>
      <c r="C698" s="1069" t="s">
        <v>669</v>
      </c>
      <c r="D698" s="822"/>
      <c r="E698" s="822"/>
      <c r="F698" s="822"/>
      <c r="G698" s="822"/>
      <c r="H698" s="822"/>
    </row>
    <row r="699" spans="1:8" x14ac:dyDescent="0.2">
      <c r="A699" s="820">
        <v>695</v>
      </c>
      <c r="B699" s="1069" t="str">
        <f t="shared" si="10"/>
        <v>Agglomerated iron ores and concentrates (excl. roasted iron pyrites)</v>
      </c>
      <c r="C699" s="1069" t="s">
        <v>672</v>
      </c>
      <c r="D699" s="822"/>
      <c r="E699" s="822"/>
      <c r="F699" s="822"/>
      <c r="G699" s="822"/>
      <c r="H699" s="822"/>
    </row>
    <row r="700" spans="1:8" x14ac:dyDescent="0.2">
      <c r="A700" s="820">
        <v>696</v>
      </c>
      <c r="B700" s="1069" t="str">
        <f t="shared" si="10"/>
        <v>Electrical energy</v>
      </c>
      <c r="C700" s="1069" t="s">
        <v>675</v>
      </c>
      <c r="D700" s="822"/>
      <c r="E700" s="822"/>
      <c r="F700" s="822"/>
      <c r="G700" s="822"/>
      <c r="H700" s="822"/>
    </row>
    <row r="701" spans="1:8" x14ac:dyDescent="0.2">
      <c r="A701" s="820">
        <v>697</v>
      </c>
      <c r="B701" s="1069" t="str">
        <f t="shared" si="10"/>
        <v>Nitric acid; sulphonitric acids</v>
      </c>
      <c r="C701" s="1069" t="s">
        <v>680</v>
      </c>
      <c r="D701" s="822"/>
      <c r="E701" s="822"/>
      <c r="F701" s="822"/>
      <c r="G701" s="822"/>
      <c r="H701" s="822"/>
    </row>
    <row r="702" spans="1:8" x14ac:dyDescent="0.2">
      <c r="A702" s="820">
        <v>698</v>
      </c>
      <c r="B702" s="1069" t="str">
        <f t="shared" si="10"/>
        <v>Ammonia, anhydrous or in aqueous solution</v>
      </c>
      <c r="C702" s="1069" t="s">
        <v>682</v>
      </c>
      <c r="D702" s="822"/>
      <c r="E702" s="822"/>
      <c r="F702" s="822"/>
      <c r="G702" s="822"/>
      <c r="H702" s="822"/>
    </row>
    <row r="703" spans="1:8" x14ac:dyDescent="0.2">
      <c r="A703" s="820">
        <v>699</v>
      </c>
      <c r="B703" s="1069" t="str">
        <f t="shared" si="10"/>
        <v>Anhydrous ammonia</v>
      </c>
      <c r="C703" s="1069" t="s">
        <v>685</v>
      </c>
      <c r="D703" s="822"/>
      <c r="E703" s="822"/>
      <c r="F703" s="822"/>
      <c r="G703" s="822"/>
      <c r="H703" s="822"/>
    </row>
    <row r="704" spans="1:8" x14ac:dyDescent="0.2">
      <c r="A704" s="820">
        <v>700</v>
      </c>
      <c r="B704" s="1069" t="str">
        <f t="shared" si="10"/>
        <v>Ammonia in aqueous solution</v>
      </c>
      <c r="C704" s="1069" t="s">
        <v>688</v>
      </c>
      <c r="D704" s="822"/>
      <c r="E704" s="822"/>
      <c r="F704" s="822"/>
      <c r="G704" s="822"/>
      <c r="H704" s="822"/>
    </row>
    <row r="705" spans="1:8" x14ac:dyDescent="0.2">
      <c r="A705" s="820">
        <v>701</v>
      </c>
      <c r="B705" s="1069" t="str">
        <f t="shared" si="10"/>
        <v>Nitrate of potassium</v>
      </c>
      <c r="C705" s="1069" t="s">
        <v>691</v>
      </c>
      <c r="D705" s="822"/>
      <c r="E705" s="822"/>
      <c r="F705" s="822"/>
      <c r="G705" s="822"/>
      <c r="H705" s="822"/>
    </row>
    <row r="706" spans="1:8" x14ac:dyDescent="0.2">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x14ac:dyDescent="0.2">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x14ac:dyDescent="0.2">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x14ac:dyDescent="0.2">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x14ac:dyDescent="0.2">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x14ac:dyDescent="0.2">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x14ac:dyDescent="0.2">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x14ac:dyDescent="0.2">
      <c r="A713" s="820">
        <v>709</v>
      </c>
      <c r="B713" s="1069" t="str">
        <f t="shared" si="11"/>
        <v>Ammonium nitrate in aqueous solution (excl. that in packages with a gross weight of &lt;= 10 kg)</v>
      </c>
      <c r="C713" s="1069" t="s">
        <v>712</v>
      </c>
      <c r="D713" s="822"/>
      <c r="E713" s="822"/>
      <c r="F713" s="822"/>
      <c r="G713" s="822"/>
      <c r="H713" s="822"/>
    </row>
    <row r="714" spans="1:8" x14ac:dyDescent="0.2">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x14ac:dyDescent="0.2">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x14ac:dyDescent="0.2">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x14ac:dyDescent="0.2">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x14ac:dyDescent="0.2">
      <c r="A718" s="820">
        <v>714</v>
      </c>
      <c r="B718" s="1069" t="str">
        <f t="shared" si="11"/>
        <v>Sodium nitrate (excl. that in tablets or similar forms, or in packages with a gross weight of &lt;= 10 kg)</v>
      </c>
      <c r="C718" s="1069" t="s">
        <v>726</v>
      </c>
      <c r="D718" s="822"/>
      <c r="E718" s="822"/>
      <c r="F718" s="822"/>
      <c r="G718" s="822"/>
      <c r="H718" s="822"/>
    </row>
    <row r="719" spans="1:8" x14ac:dyDescent="0.2">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x14ac:dyDescent="0.2">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x14ac:dyDescent="0.2">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x14ac:dyDescent="0.2">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x14ac:dyDescent="0.2">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x14ac:dyDescent="0.2">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x14ac:dyDescent="0.2">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x14ac:dyDescent="0.2">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x14ac:dyDescent="0.2">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x14ac:dyDescent="0.2">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x14ac:dyDescent="0.2">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x14ac:dyDescent="0.2">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x14ac:dyDescent="0.2">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x14ac:dyDescent="0.2">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x14ac:dyDescent="0.2">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x14ac:dyDescent="0.2">
      <c r="A734" s="820">
        <v>730</v>
      </c>
      <c r="B734" s="1069" t="str">
        <f t="shared" si="11"/>
        <v>Pig iron and spiegeleisen, in pigs, blocks or other primary forms</v>
      </c>
      <c r="C734" s="1069" t="s">
        <v>770</v>
      </c>
      <c r="D734" s="822"/>
      <c r="E734" s="822"/>
      <c r="F734" s="822"/>
      <c r="G734" s="822"/>
      <c r="H734" s="822"/>
    </row>
    <row r="735" spans="1:8" x14ac:dyDescent="0.2">
      <c r="A735" s="820">
        <v>731</v>
      </c>
      <c r="B735" s="1069" t="str">
        <f t="shared" si="11"/>
        <v>Non-alloy pig iron in pigs, blocks or other primary forms, containing, by weight, &lt;= 0,5% of phosphorous</v>
      </c>
      <c r="C735" s="1069" t="s">
        <v>772</v>
      </c>
      <c r="D735" s="822"/>
      <c r="E735" s="822"/>
      <c r="F735" s="822"/>
      <c r="G735" s="822"/>
      <c r="H735" s="822"/>
    </row>
    <row r="736" spans="1:8" x14ac:dyDescent="0.2">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x14ac:dyDescent="0.2">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x14ac:dyDescent="0.2">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x14ac:dyDescent="0.2">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x14ac:dyDescent="0.2">
      <c r="A740" s="820">
        <v>736</v>
      </c>
      <c r="B740" s="1069" t="str">
        <f t="shared" si="11"/>
        <v>Non-alloy pig iron in pigs, blocks or other primary forms, containing by weight &gt;= 0,5% phosphorus</v>
      </c>
      <c r="C740" s="1069" t="s">
        <v>787</v>
      </c>
      <c r="D740" s="822"/>
      <c r="E740" s="822"/>
      <c r="F740" s="822"/>
      <c r="G740" s="822"/>
      <c r="H740" s="822"/>
    </row>
    <row r="741" spans="1:8" x14ac:dyDescent="0.2">
      <c r="A741" s="820">
        <v>737</v>
      </c>
      <c r="B741" s="1069" t="str">
        <f t="shared" si="11"/>
        <v>Alloy pig iron and spiegeleisen, in pigs, blocks or other primary forms</v>
      </c>
      <c r="C741" s="1069" t="s">
        <v>789</v>
      </c>
      <c r="D741" s="822"/>
      <c r="E741" s="822"/>
      <c r="F741" s="822"/>
      <c r="G741" s="822"/>
      <c r="H741" s="822"/>
    </row>
    <row r="742" spans="1:8" x14ac:dyDescent="0.2">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x14ac:dyDescent="0.2">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x14ac:dyDescent="0.2">
      <c r="A744" s="820">
        <v>740</v>
      </c>
      <c r="B744" s="1069" t="str">
        <f t="shared" si="11"/>
        <v>Ferro-manganese, containing by weight &gt; 2% of carbon</v>
      </c>
      <c r="C744" s="1069" t="s">
        <v>797</v>
      </c>
      <c r="D744" s="822"/>
      <c r="E744" s="822"/>
      <c r="F744" s="822"/>
      <c r="G744" s="822"/>
      <c r="H744" s="822"/>
    </row>
    <row r="745" spans="1:8" x14ac:dyDescent="0.2">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x14ac:dyDescent="0.2">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x14ac:dyDescent="0.2">
      <c r="A747" s="820">
        <v>743</v>
      </c>
      <c r="B747" s="1069" t="str">
        <f t="shared" si="11"/>
        <v>Ferro-manganese, containing by weight &lt;= 2% carbon</v>
      </c>
      <c r="C747" s="1069" t="s">
        <v>806</v>
      </c>
      <c r="D747" s="822"/>
      <c r="E747" s="822"/>
      <c r="F747" s="822"/>
      <c r="G747" s="822"/>
      <c r="H747" s="822"/>
    </row>
    <row r="748" spans="1:8" x14ac:dyDescent="0.2">
      <c r="A748" s="820">
        <v>744</v>
      </c>
      <c r="B748" s="1069" t="str">
        <f t="shared" si="11"/>
        <v>Ferro-chromium, containing by weight &gt; 4% of carbon</v>
      </c>
      <c r="C748" s="1069" t="s">
        <v>808</v>
      </c>
      <c r="D748" s="822"/>
      <c r="E748" s="822"/>
      <c r="F748" s="822"/>
      <c r="G748" s="822"/>
      <c r="H748" s="822"/>
    </row>
    <row r="749" spans="1:8" x14ac:dyDescent="0.2">
      <c r="A749" s="820">
        <v>745</v>
      </c>
      <c r="B749" s="1069" t="str">
        <f t="shared" si="11"/>
        <v>Ferro-chromium, containing by weight &gt; 4% but &lt;= 6% carbon</v>
      </c>
      <c r="C749" s="1069" t="s">
        <v>811</v>
      </c>
      <c r="D749" s="822"/>
      <c r="E749" s="822"/>
      <c r="F749" s="822"/>
      <c r="G749" s="822"/>
      <c r="H749" s="822"/>
    </row>
    <row r="750" spans="1:8" x14ac:dyDescent="0.2">
      <c r="A750" s="820">
        <v>746</v>
      </c>
      <c r="B750" s="1069" t="str">
        <f t="shared" si="11"/>
        <v>Ferro-chromium, containing by weight &gt; 6% carbon</v>
      </c>
      <c r="C750" s="1069" t="s">
        <v>814</v>
      </c>
      <c r="D750" s="822"/>
      <c r="E750" s="822"/>
      <c r="F750" s="822"/>
      <c r="G750" s="822"/>
      <c r="H750" s="822"/>
    </row>
    <row r="751" spans="1:8" x14ac:dyDescent="0.2">
      <c r="A751" s="820">
        <v>747</v>
      </c>
      <c r="B751" s="1069" t="str">
        <f t="shared" si="11"/>
        <v>Ferro-chromium, containing by weight &lt;= 4% of carbon</v>
      </c>
      <c r="C751" s="1069" t="s">
        <v>816</v>
      </c>
      <c r="D751" s="822"/>
      <c r="E751" s="822"/>
      <c r="F751" s="822"/>
      <c r="G751" s="822"/>
      <c r="H751" s="822"/>
    </row>
    <row r="752" spans="1:8" x14ac:dyDescent="0.2">
      <c r="A752" s="820">
        <v>748</v>
      </c>
      <c r="B752" s="1069" t="str">
        <f t="shared" si="11"/>
        <v>Ferro-chromium, containing by weight &lt;= 0,05% carbon</v>
      </c>
      <c r="C752" s="1069" t="s">
        <v>819</v>
      </c>
      <c r="D752" s="822"/>
      <c r="E752" s="822"/>
      <c r="F752" s="822"/>
      <c r="G752" s="822"/>
      <c r="H752" s="822"/>
    </row>
    <row r="753" spans="1:8" x14ac:dyDescent="0.2">
      <c r="A753" s="820">
        <v>749</v>
      </c>
      <c r="B753" s="1069" t="str">
        <f t="shared" si="11"/>
        <v>Ferro-chromium, containing by weight &gt; 0,05% but &lt;= 0,5% carbon</v>
      </c>
      <c r="C753" s="1069" t="s">
        <v>822</v>
      </c>
      <c r="D753" s="822"/>
      <c r="E753" s="822"/>
      <c r="F753" s="822"/>
      <c r="G753" s="822"/>
      <c r="H753" s="822"/>
    </row>
    <row r="754" spans="1:8" x14ac:dyDescent="0.2">
      <c r="A754" s="820">
        <v>750</v>
      </c>
      <c r="B754" s="1069" t="str">
        <f t="shared" si="11"/>
        <v>Ferro-chromium, containing by weight &gt; 0,5% but &lt;= 4% carbon</v>
      </c>
      <c r="C754" s="1069" t="s">
        <v>825</v>
      </c>
      <c r="D754" s="822"/>
      <c r="E754" s="822"/>
      <c r="F754" s="822"/>
      <c r="G754" s="822"/>
      <c r="H754" s="822"/>
    </row>
    <row r="755" spans="1:8" x14ac:dyDescent="0.2">
      <c r="A755" s="820">
        <v>751</v>
      </c>
      <c r="B755" s="1069" t="str">
        <f t="shared" si="11"/>
        <v>Ferro-nickel</v>
      </c>
      <c r="C755" s="1069" t="s">
        <v>828</v>
      </c>
      <c r="D755" s="822"/>
      <c r="E755" s="822"/>
      <c r="F755" s="822"/>
      <c r="G755" s="822"/>
      <c r="H755" s="822"/>
    </row>
    <row r="756" spans="1:8" x14ac:dyDescent="0.2">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x14ac:dyDescent="0.2">
      <c r="A757" s="820">
        <v>753</v>
      </c>
      <c r="B757" s="1069" t="str">
        <f t="shared" si="11"/>
        <v>Ferrous products obtained by direct reduction of iron ore, in lumps, pellets or similar forms</v>
      </c>
      <c r="C757" s="1069" t="s">
        <v>833</v>
      </c>
      <c r="D757" s="822"/>
      <c r="E757" s="822"/>
      <c r="F757" s="822"/>
      <c r="G757" s="822"/>
      <c r="H757" s="822"/>
    </row>
    <row r="758" spans="1:8" x14ac:dyDescent="0.2">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x14ac:dyDescent="0.2">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x14ac:dyDescent="0.2">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x14ac:dyDescent="0.2">
      <c r="A761" s="820">
        <v>757</v>
      </c>
      <c r="B761" s="1069" t="str">
        <f t="shared" si="11"/>
        <v>Powders, of alloy steel (excl. powders of ferro-alloys and radioactive iron powders "isotopes")</v>
      </c>
      <c r="C761" s="1069" t="s">
        <v>844</v>
      </c>
      <c r="D761" s="822"/>
      <c r="E761" s="822"/>
      <c r="F761" s="822"/>
      <c r="G761" s="822"/>
      <c r="H761" s="822"/>
    </row>
    <row r="762" spans="1:8" x14ac:dyDescent="0.2">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x14ac:dyDescent="0.2">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x14ac:dyDescent="0.2">
      <c r="A764" s="820">
        <v>760</v>
      </c>
      <c r="B764" s="1069" t="str">
        <f t="shared" si="11"/>
        <v>Ingots, of iron and non-alloy steel (excl. remelted scrap ingots, continuous cast products, iron of heading 7203)</v>
      </c>
      <c r="C764" s="1069" t="s">
        <v>852</v>
      </c>
      <c r="D764" s="822"/>
      <c r="E764" s="822"/>
      <c r="F764" s="822"/>
      <c r="G764" s="822"/>
      <c r="H764" s="822"/>
    </row>
    <row r="765" spans="1:8" x14ac:dyDescent="0.2">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x14ac:dyDescent="0.2">
      <c r="A766" s="820">
        <v>762</v>
      </c>
      <c r="B766" s="1069" t="str">
        <f t="shared" si="11"/>
        <v>Semi-finished products of iron or non-alloy steel</v>
      </c>
      <c r="C766" s="1069" t="s">
        <v>857</v>
      </c>
      <c r="D766" s="822"/>
      <c r="E766" s="822"/>
      <c r="F766" s="822"/>
      <c r="G766" s="822"/>
      <c r="H766" s="822"/>
    </row>
    <row r="767" spans="1:8" x14ac:dyDescent="0.2">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x14ac:dyDescent="0.2">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x14ac:dyDescent="0.2">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x14ac:dyDescent="0.2">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x14ac:dyDescent="0.2">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x14ac:dyDescent="0.2">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x14ac:dyDescent="0.2">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x14ac:dyDescent="0.2">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x14ac:dyDescent="0.2">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x14ac:dyDescent="0.2">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x14ac:dyDescent="0.2">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x14ac:dyDescent="0.2">
      <c r="A778" s="820">
        <v>774</v>
      </c>
      <c r="B778" s="1069" t="str">
        <f t="shared" si="12"/>
        <v>Semi-finished products of iron or non-alloy steel containing, by weight, &gt;= 0,25% of carbon</v>
      </c>
      <c r="C778" s="1069" t="s">
        <v>892</v>
      </c>
      <c r="D778" s="822"/>
      <c r="E778" s="822"/>
      <c r="F778" s="822"/>
      <c r="G778" s="822"/>
      <c r="H778" s="822"/>
    </row>
    <row r="779" spans="1:8" x14ac:dyDescent="0.2">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x14ac:dyDescent="0.2">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x14ac:dyDescent="0.2">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x14ac:dyDescent="0.2">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x14ac:dyDescent="0.2">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x14ac:dyDescent="0.2">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x14ac:dyDescent="0.2">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x14ac:dyDescent="0.2">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x14ac:dyDescent="0.2">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x14ac:dyDescent="0.2">
      <c r="A788" s="820">
        <v>784</v>
      </c>
      <c r="B788" s="1069" t="str">
        <f t="shared" si="12"/>
        <v>Flat-rolled products of iron or non-alloy steel, of a width &gt;= 600 mm, hot-rolled, not clad, plated or coated</v>
      </c>
      <c r="C788" s="1069" t="s">
        <v>921</v>
      </c>
      <c r="D788" s="822"/>
      <c r="E788" s="822"/>
      <c r="F788" s="822"/>
      <c r="G788" s="822"/>
      <c r="H788" s="822"/>
    </row>
    <row r="789" spans="1:8" x14ac:dyDescent="0.2">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x14ac:dyDescent="0.2">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x14ac:dyDescent="0.2">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x14ac:dyDescent="0.2">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x14ac:dyDescent="0.2">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x14ac:dyDescent="0.2">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x14ac:dyDescent="0.2">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x14ac:dyDescent="0.2">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x14ac:dyDescent="0.2">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x14ac:dyDescent="0.2">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x14ac:dyDescent="0.2">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x14ac:dyDescent="0.2">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x14ac:dyDescent="0.2">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x14ac:dyDescent="0.2">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x14ac:dyDescent="0.2">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x14ac:dyDescent="0.2">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x14ac:dyDescent="0.2">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x14ac:dyDescent="0.2">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x14ac:dyDescent="0.2">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x14ac:dyDescent="0.2">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x14ac:dyDescent="0.2">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x14ac:dyDescent="0.2">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x14ac:dyDescent="0.2">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x14ac:dyDescent="0.2">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x14ac:dyDescent="0.2">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x14ac:dyDescent="0.2">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x14ac:dyDescent="0.2">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x14ac:dyDescent="0.2">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x14ac:dyDescent="0.2">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x14ac:dyDescent="0.2">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x14ac:dyDescent="0.2">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x14ac:dyDescent="0.2">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x14ac:dyDescent="0.2">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x14ac:dyDescent="0.2">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x14ac:dyDescent="0.2">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x14ac:dyDescent="0.2">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x14ac:dyDescent="0.2">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x14ac:dyDescent="0.2">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x14ac:dyDescent="0.2">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x14ac:dyDescent="0.2">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x14ac:dyDescent="0.2">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x14ac:dyDescent="0.2">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x14ac:dyDescent="0.2">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x14ac:dyDescent="0.2">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x14ac:dyDescent="0.2">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x14ac:dyDescent="0.2">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x14ac:dyDescent="0.2">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x14ac:dyDescent="0.2">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x14ac:dyDescent="0.2">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x14ac:dyDescent="0.2">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x14ac:dyDescent="0.2">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x14ac:dyDescent="0.2">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x14ac:dyDescent="0.2">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x14ac:dyDescent="0.2">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x14ac:dyDescent="0.2">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x14ac:dyDescent="0.2">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x14ac:dyDescent="0.2">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x14ac:dyDescent="0.2">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x14ac:dyDescent="0.2">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x14ac:dyDescent="0.2">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x14ac:dyDescent="0.2">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x14ac:dyDescent="0.2">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x14ac:dyDescent="0.2">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x14ac:dyDescent="0.2">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x14ac:dyDescent="0.2">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x14ac:dyDescent="0.2">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x14ac:dyDescent="0.2">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x14ac:dyDescent="0.2">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x14ac:dyDescent="0.2">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x14ac:dyDescent="0.2">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x14ac:dyDescent="0.2">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x14ac:dyDescent="0.2">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x14ac:dyDescent="0.2">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x14ac:dyDescent="0.2">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x14ac:dyDescent="0.2">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x14ac:dyDescent="0.2">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x14ac:dyDescent="0.2">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x14ac:dyDescent="0.2">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x14ac:dyDescent="0.2">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x14ac:dyDescent="0.2">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x14ac:dyDescent="0.2">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x14ac:dyDescent="0.2">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x14ac:dyDescent="0.2">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x14ac:dyDescent="0.2">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x14ac:dyDescent="0.2">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x14ac:dyDescent="0.2">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x14ac:dyDescent="0.2">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x14ac:dyDescent="0.2">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x14ac:dyDescent="0.2">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x14ac:dyDescent="0.2">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x14ac:dyDescent="0.2">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x14ac:dyDescent="0.2">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x14ac:dyDescent="0.2">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x14ac:dyDescent="0.2">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x14ac:dyDescent="0.2">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x14ac:dyDescent="0.2">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x14ac:dyDescent="0.2">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x14ac:dyDescent="0.2">
      <c r="A886" s="820">
        <v>882</v>
      </c>
      <c r="B886" s="1069" t="str">
        <f t="shared" si="13"/>
        <v>Bars and rods of iron or non-alloy steel, hot-rolled, in irregularly wound coils</v>
      </c>
      <c r="C886" s="1069" t="s">
        <v>1190</v>
      </c>
      <c r="D886" s="822"/>
      <c r="E886" s="822"/>
      <c r="F886" s="822"/>
      <c r="G886" s="822"/>
      <c r="H886" s="822"/>
    </row>
    <row r="887" spans="1:8" x14ac:dyDescent="0.2">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x14ac:dyDescent="0.2">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x14ac:dyDescent="0.2">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x14ac:dyDescent="0.2">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x14ac:dyDescent="0.2">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x14ac:dyDescent="0.2">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x14ac:dyDescent="0.2">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x14ac:dyDescent="0.2">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x14ac:dyDescent="0.2">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x14ac:dyDescent="0.2">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x14ac:dyDescent="0.2">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x14ac:dyDescent="0.2">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x14ac:dyDescent="0.2">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x14ac:dyDescent="0.2">
      <c r="A900" s="820">
        <v>896</v>
      </c>
      <c r="B900" s="1069" t="str">
        <f t="shared" si="13"/>
        <v>Bars and rods, of iron or non-alloy steel, not further worked than forged (excl. in irregularly wound coils)</v>
      </c>
      <c r="C900" s="1069" t="s">
        <v>1229</v>
      </c>
      <c r="D900" s="822"/>
      <c r="E900" s="822"/>
      <c r="F900" s="822"/>
      <c r="G900" s="822"/>
      <c r="H900" s="822"/>
    </row>
    <row r="901" spans="1:8" x14ac:dyDescent="0.2">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x14ac:dyDescent="0.2">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x14ac:dyDescent="0.2">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x14ac:dyDescent="0.2">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x14ac:dyDescent="0.2">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x14ac:dyDescent="0.2">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x14ac:dyDescent="0.2">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x14ac:dyDescent="0.2">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x14ac:dyDescent="0.2">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x14ac:dyDescent="0.2">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x14ac:dyDescent="0.2">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x14ac:dyDescent="0.2">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x14ac:dyDescent="0.2">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x14ac:dyDescent="0.2">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x14ac:dyDescent="0.2">
      <c r="A915" s="820">
        <v>911</v>
      </c>
      <c r="B915" s="1069" t="str">
        <f t="shared" si="14"/>
        <v>Bars and rods, of non-alloy free-cutting steel, not further worked than cold-formed or cold-finished</v>
      </c>
      <c r="C915" s="1069" t="s">
        <v>1271</v>
      </c>
      <c r="D915" s="822"/>
      <c r="E915" s="822"/>
      <c r="F915" s="822"/>
      <c r="G915" s="822"/>
      <c r="H915" s="822"/>
    </row>
    <row r="916" spans="1:8" x14ac:dyDescent="0.2">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x14ac:dyDescent="0.2">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x14ac:dyDescent="0.2">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x14ac:dyDescent="0.2">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x14ac:dyDescent="0.2">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x14ac:dyDescent="0.2">
      <c r="A921" s="820">
        <v>917</v>
      </c>
      <c r="B921" s="1069" t="str">
        <f t="shared" si="14"/>
        <v>Angles, shapes and sections of iron or non-alloy steel, n.e.s.</v>
      </c>
      <c r="C921" s="1069" t="s">
        <v>1287</v>
      </c>
      <c r="D921" s="822"/>
      <c r="E921" s="822"/>
      <c r="F921" s="822"/>
      <c r="G921" s="822"/>
      <c r="H921" s="822"/>
    </row>
    <row r="922" spans="1:8" x14ac:dyDescent="0.2">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x14ac:dyDescent="0.2">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x14ac:dyDescent="0.2">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x14ac:dyDescent="0.2">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x14ac:dyDescent="0.2">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x14ac:dyDescent="0.2">
      <c r="A927" s="820">
        <v>923</v>
      </c>
      <c r="B927" s="1069" t="str">
        <f t="shared" si="14"/>
        <v>U sections of iron or non-alloy steel, simply hot-rolled, hot-drawn or extruded, of a height &gt; 220 mm</v>
      </c>
      <c r="C927" s="1069" t="s">
        <v>1304</v>
      </c>
      <c r="D927" s="822"/>
      <c r="E927" s="822"/>
      <c r="F927" s="822"/>
      <c r="G927" s="822"/>
      <c r="H927" s="822"/>
    </row>
    <row r="928" spans="1:8" x14ac:dyDescent="0.2">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x14ac:dyDescent="0.2">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x14ac:dyDescent="0.2">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x14ac:dyDescent="0.2">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x14ac:dyDescent="0.2">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x14ac:dyDescent="0.2">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x14ac:dyDescent="0.2">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x14ac:dyDescent="0.2">
      <c r="A935" s="820">
        <v>931</v>
      </c>
      <c r="B935" s="1069" t="str">
        <f t="shared" si="14"/>
        <v>H sections of iron or non-alloy steel, simply hot-rolled, hot-drawn or extruded, of a height &gt; 180 mm</v>
      </c>
      <c r="C935" s="1069" t="s">
        <v>1326</v>
      </c>
      <c r="D935" s="822"/>
      <c r="E935" s="822"/>
      <c r="F935" s="822"/>
      <c r="G935" s="822"/>
      <c r="H935" s="822"/>
    </row>
    <row r="936" spans="1:8" x14ac:dyDescent="0.2">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x14ac:dyDescent="0.2">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x14ac:dyDescent="0.2">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x14ac:dyDescent="0.2">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x14ac:dyDescent="0.2">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x14ac:dyDescent="0.2">
      <c r="A941" s="820">
        <v>937</v>
      </c>
      <c r="B941" s="1069" t="str">
        <f t="shared" si="14"/>
        <v>Bulb sections "bulb flat", only hot-rolled, hot-drawn or hot-extruded</v>
      </c>
      <c r="C941" s="1069" t="s">
        <v>1342</v>
      </c>
      <c r="D941" s="822"/>
      <c r="E941" s="822"/>
      <c r="F941" s="822"/>
      <c r="G941" s="822"/>
      <c r="H941" s="822"/>
    </row>
    <row r="942" spans="1:8" x14ac:dyDescent="0.2">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x14ac:dyDescent="0.2">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x14ac:dyDescent="0.2">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x14ac:dyDescent="0.2">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x14ac:dyDescent="0.2">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x14ac:dyDescent="0.2">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x14ac:dyDescent="0.2">
      <c r="A948" s="820">
        <v>944</v>
      </c>
      <c r="B948" s="1069" t="str">
        <f t="shared" si="14"/>
        <v>Sheets sheets of iron or non-alloy steel, cold-formed or cold finished, profiled "ribbed"</v>
      </c>
      <c r="C948" s="1069" t="s">
        <v>1361</v>
      </c>
      <c r="D948" s="822"/>
      <c r="E948" s="822"/>
      <c r="F948" s="822"/>
      <c r="G948" s="822"/>
      <c r="H948" s="822"/>
    </row>
    <row r="949" spans="1:8" x14ac:dyDescent="0.2">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x14ac:dyDescent="0.2">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x14ac:dyDescent="0.2">
      <c r="A951" s="820">
        <v>947</v>
      </c>
      <c r="B951" s="1069" t="str">
        <f t="shared" si="14"/>
        <v>Wire of iron or non-alloy steel, in coils (excl. bars and rods)</v>
      </c>
      <c r="C951" s="1069" t="s">
        <v>1369</v>
      </c>
      <c r="D951" s="822"/>
      <c r="E951" s="822"/>
      <c r="F951" s="822"/>
      <c r="G951" s="822"/>
      <c r="H951" s="822"/>
    </row>
    <row r="952" spans="1:8" x14ac:dyDescent="0.2">
      <c r="A952" s="820">
        <v>948</v>
      </c>
      <c r="B952" s="1069" t="str">
        <f t="shared" si="14"/>
        <v>Wire of iron or non-alloy steel, in coils, not plated or coated, whether or not polished (excl. bars and rods)</v>
      </c>
      <c r="C952" s="1069" t="s">
        <v>1371</v>
      </c>
      <c r="D952" s="822"/>
      <c r="E952" s="822"/>
      <c r="F952" s="822"/>
      <c r="G952" s="822"/>
      <c r="H952" s="822"/>
    </row>
    <row r="953" spans="1:8" x14ac:dyDescent="0.2">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x14ac:dyDescent="0.2">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x14ac:dyDescent="0.2">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x14ac:dyDescent="0.2">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x14ac:dyDescent="0.2">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x14ac:dyDescent="0.2">
      <c r="A958" s="820">
        <v>954</v>
      </c>
      <c r="B958" s="1069" t="str">
        <f t="shared" si="14"/>
        <v>Wire of iron or non-alloy steel, in coils, plated or coated with zinc (excl. bars and rods)</v>
      </c>
      <c r="C958" s="1069" t="s">
        <v>1388</v>
      </c>
      <c r="D958" s="822"/>
      <c r="E958" s="822"/>
      <c r="F958" s="822"/>
      <c r="G958" s="822"/>
      <c r="H958" s="822"/>
    </row>
    <row r="959" spans="1:8" x14ac:dyDescent="0.2">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x14ac:dyDescent="0.2">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x14ac:dyDescent="0.2">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x14ac:dyDescent="0.2">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x14ac:dyDescent="0.2">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x14ac:dyDescent="0.2">
      <c r="A964" s="820">
        <v>960</v>
      </c>
      <c r="B964" s="1069" t="str">
        <f t="shared" si="14"/>
        <v>Wire of iron or non-alloy steel, in coils, containing by weight &lt; 0,25% carbon, copper-coated (excl. bars and rods)</v>
      </c>
      <c r="C964" s="1069" t="s">
        <v>1405</v>
      </c>
      <c r="D964" s="822"/>
      <c r="E964" s="822"/>
      <c r="F964" s="822"/>
      <c r="G964" s="822"/>
      <c r="H964" s="822"/>
    </row>
    <row r="965" spans="1:8" x14ac:dyDescent="0.2">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x14ac:dyDescent="0.2">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x14ac:dyDescent="0.2">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x14ac:dyDescent="0.2">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x14ac:dyDescent="0.2">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x14ac:dyDescent="0.2">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x14ac:dyDescent="0.2">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x14ac:dyDescent="0.2">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x14ac:dyDescent="0.2">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x14ac:dyDescent="0.2">
      <c r="A974" s="820">
        <v>970</v>
      </c>
      <c r="B974" s="1069" t="str">
        <f t="shared" si="15"/>
        <v>Semi-finished products of stainless steel, of rectangular "other than square" cross-section</v>
      </c>
      <c r="C974" s="1069" t="s">
        <v>1432</v>
      </c>
      <c r="D974" s="822"/>
      <c r="E974" s="822"/>
      <c r="F974" s="822"/>
      <c r="G974" s="822"/>
      <c r="H974" s="822"/>
    </row>
    <row r="975" spans="1:8" x14ac:dyDescent="0.2">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x14ac:dyDescent="0.2">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x14ac:dyDescent="0.2">
      <c r="A977" s="820">
        <v>973</v>
      </c>
      <c r="B977" s="1069" t="str">
        <f t="shared" si="15"/>
        <v>Semi-finished products of stainless steel (excl. of rectangular [other than square] cross-section)</v>
      </c>
      <c r="C977" s="1069" t="s">
        <v>1440</v>
      </c>
      <c r="D977" s="822"/>
      <c r="E977" s="822"/>
      <c r="F977" s="822"/>
      <c r="G977" s="822"/>
      <c r="H977" s="822"/>
    </row>
    <row r="978" spans="1:8" x14ac:dyDescent="0.2">
      <c r="A978" s="820">
        <v>974</v>
      </c>
      <c r="B978" s="1069" t="str">
        <f t="shared" si="15"/>
        <v>Semi-finished products of stainless steel, of square cross-section, rolled or obtained by continuous casting</v>
      </c>
      <c r="C978" s="1069" t="s">
        <v>1443</v>
      </c>
      <c r="D978" s="822"/>
      <c r="E978" s="822"/>
      <c r="F978" s="822"/>
      <c r="G978" s="822"/>
      <c r="H978" s="822"/>
    </row>
    <row r="979" spans="1:8" x14ac:dyDescent="0.2">
      <c r="A979" s="820">
        <v>975</v>
      </c>
      <c r="B979" s="1069" t="str">
        <f t="shared" si="15"/>
        <v>Semi-finished products of stainless steel, of square cross-section, forged</v>
      </c>
      <c r="C979" s="1069" t="s">
        <v>1446</v>
      </c>
      <c r="D979" s="822"/>
      <c r="E979" s="822"/>
      <c r="F979" s="822"/>
      <c r="G979" s="822"/>
      <c r="H979" s="822"/>
    </row>
    <row r="980" spans="1:8" x14ac:dyDescent="0.2">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x14ac:dyDescent="0.2">
      <c r="A981" s="820">
        <v>977</v>
      </c>
      <c r="B981" s="1069" t="str">
        <f t="shared" si="15"/>
        <v>Semi-finished products of stainless steel, forged (excl. products of square or rectangular cross-section)</v>
      </c>
      <c r="C981" s="1069" t="s">
        <v>1452</v>
      </c>
      <c r="D981" s="822"/>
      <c r="E981" s="822"/>
      <c r="F981" s="822"/>
      <c r="G981" s="822"/>
      <c r="H981" s="822"/>
    </row>
    <row r="982" spans="1:8" x14ac:dyDescent="0.2">
      <c r="A982" s="820">
        <v>978</v>
      </c>
      <c r="B982" s="1069" t="str">
        <f t="shared" si="15"/>
        <v>Flat-rolled products of stainless steel, of a width of &gt;= 600 mm, hot-rolled or cold-rolled "cold-reduced"</v>
      </c>
      <c r="C982" s="1069" t="s">
        <v>1454</v>
      </c>
      <c r="D982" s="822"/>
      <c r="E982" s="822"/>
      <c r="F982" s="822"/>
      <c r="G982" s="822"/>
      <c r="H982" s="822"/>
    </row>
    <row r="983" spans="1:8" x14ac:dyDescent="0.2">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x14ac:dyDescent="0.2">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x14ac:dyDescent="0.2">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x14ac:dyDescent="0.2">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x14ac:dyDescent="0.2">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x14ac:dyDescent="0.2">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x14ac:dyDescent="0.2">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x14ac:dyDescent="0.2">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x14ac:dyDescent="0.2">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x14ac:dyDescent="0.2">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x14ac:dyDescent="0.2">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x14ac:dyDescent="0.2">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x14ac:dyDescent="0.2">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x14ac:dyDescent="0.2">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x14ac:dyDescent="0.2">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x14ac:dyDescent="0.2">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x14ac:dyDescent="0.2">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x14ac:dyDescent="0.2">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x14ac:dyDescent="0.2">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x14ac:dyDescent="0.2">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x14ac:dyDescent="0.2">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x14ac:dyDescent="0.2">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x14ac:dyDescent="0.2">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x14ac:dyDescent="0.2">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x14ac:dyDescent="0.2">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x14ac:dyDescent="0.2">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x14ac:dyDescent="0.2">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x14ac:dyDescent="0.2">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x14ac:dyDescent="0.2">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x14ac:dyDescent="0.2">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x14ac:dyDescent="0.2">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x14ac:dyDescent="0.2">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x14ac:dyDescent="0.2">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x14ac:dyDescent="0.2">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x14ac:dyDescent="0.2">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x14ac:dyDescent="0.2">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x14ac:dyDescent="0.2">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x14ac:dyDescent="0.2">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x14ac:dyDescent="0.2">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x14ac:dyDescent="0.2">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x14ac:dyDescent="0.2">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x14ac:dyDescent="0.2">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x14ac:dyDescent="0.2">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x14ac:dyDescent="0.2">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x14ac:dyDescent="0.2">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x14ac:dyDescent="0.2">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x14ac:dyDescent="0.2">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x14ac:dyDescent="0.2">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x14ac:dyDescent="0.2">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x14ac:dyDescent="0.2">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x14ac:dyDescent="0.2">
      <c r="A1033" s="820">
        <v>1029</v>
      </c>
      <c r="B1033" s="1069" t="str">
        <f t="shared" si="16"/>
        <v>Other bars and rods of stainless steel; angles, shapes and sections of stainless steel, n.e.s.</v>
      </c>
      <c r="C1033" s="1069" t="s">
        <v>1591</v>
      </c>
      <c r="D1033" s="822"/>
      <c r="E1033" s="822"/>
      <c r="F1033" s="822"/>
      <c r="G1033" s="822"/>
      <c r="H1033" s="822"/>
    </row>
    <row r="1034" spans="1:8" x14ac:dyDescent="0.2">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x14ac:dyDescent="0.2">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x14ac:dyDescent="0.2">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x14ac:dyDescent="0.2">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x14ac:dyDescent="0.2">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x14ac:dyDescent="0.2">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x14ac:dyDescent="0.2">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x14ac:dyDescent="0.2">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x14ac:dyDescent="0.2">
      <c r="A1042" s="820">
        <v>1038</v>
      </c>
      <c r="B1042" s="1069" t="str">
        <f t="shared" si="16"/>
        <v>Other bars and rods of stainless steel, not further worked than cold-formed or cold-finished</v>
      </c>
      <c r="C1042" s="1069" t="s">
        <v>1615</v>
      </c>
      <c r="D1042" s="822"/>
      <c r="E1042" s="822"/>
      <c r="F1042" s="822"/>
      <c r="G1042" s="822"/>
      <c r="H1042" s="822"/>
    </row>
    <row r="1043" spans="1:8" x14ac:dyDescent="0.2">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x14ac:dyDescent="0.2">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x14ac:dyDescent="0.2">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x14ac:dyDescent="0.2">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x14ac:dyDescent="0.2">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x14ac:dyDescent="0.2">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x14ac:dyDescent="0.2">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x14ac:dyDescent="0.2">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x14ac:dyDescent="0.2">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x14ac:dyDescent="0.2">
      <c r="A1052" s="820">
        <v>1048</v>
      </c>
      <c r="B1052" s="1069" t="str">
        <f t="shared" si="16"/>
        <v>Other bars and rods of stainless steel, containing by weight &gt;= 2,5% of nickel, forged</v>
      </c>
      <c r="C1052" s="1069" t="s">
        <v>1644</v>
      </c>
      <c r="D1052" s="822"/>
      <c r="E1052" s="822"/>
      <c r="F1052" s="822"/>
      <c r="G1052" s="822"/>
      <c r="H1052" s="822"/>
    </row>
    <row r="1053" spans="1:8" x14ac:dyDescent="0.2">
      <c r="A1053" s="820">
        <v>1049</v>
      </c>
      <c r="B1053" s="1069" t="str">
        <f t="shared" si="16"/>
        <v>Other bars and rods of stainless steel, containing by weight &lt; 2,5% of nickel, forged</v>
      </c>
      <c r="C1053" s="1069" t="s">
        <v>1647</v>
      </c>
      <c r="D1053" s="822"/>
      <c r="E1053" s="822"/>
      <c r="F1053" s="822"/>
      <c r="G1053" s="822"/>
      <c r="H1053" s="822"/>
    </row>
    <row r="1054" spans="1:8" x14ac:dyDescent="0.2">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x14ac:dyDescent="0.2">
      <c r="A1055" s="820">
        <v>1051</v>
      </c>
      <c r="B1055" s="1069" t="str">
        <f t="shared" si="16"/>
        <v>Angles, shapes and sections of stainless steel, n.e.s.</v>
      </c>
      <c r="C1055" s="1069" t="s">
        <v>1652</v>
      </c>
      <c r="D1055" s="822"/>
      <c r="E1055" s="822"/>
      <c r="F1055" s="822"/>
      <c r="G1055" s="822"/>
      <c r="H1055" s="822"/>
    </row>
    <row r="1056" spans="1:8" x14ac:dyDescent="0.2">
      <c r="A1056" s="820">
        <v>1052</v>
      </c>
      <c r="B1056" s="1069" t="str">
        <f t="shared" si="16"/>
        <v>Angles, shapes and sections of stainless steel, only hot-rolled, only hot-drawn or only extruded</v>
      </c>
      <c r="C1056" s="1069" t="s">
        <v>1655</v>
      </c>
      <c r="D1056" s="822"/>
      <c r="E1056" s="822"/>
      <c r="F1056" s="822"/>
      <c r="G1056" s="822"/>
      <c r="H1056" s="822"/>
    </row>
    <row r="1057" spans="1:8" x14ac:dyDescent="0.2">
      <c r="A1057" s="820">
        <v>1053</v>
      </c>
      <c r="B1057" s="1069" t="str">
        <f t="shared" si="16"/>
        <v>Angles, shapes and sections of stainless steel, not further worked than cold-formed or cold-finished</v>
      </c>
      <c r="C1057" s="1069" t="s">
        <v>1658</v>
      </c>
      <c r="D1057" s="822"/>
      <c r="E1057" s="822"/>
      <c r="F1057" s="822"/>
      <c r="G1057" s="822"/>
      <c r="H1057" s="822"/>
    </row>
    <row r="1058" spans="1:8" x14ac:dyDescent="0.2">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x14ac:dyDescent="0.2">
      <c r="A1059" s="820">
        <v>1055</v>
      </c>
      <c r="B1059" s="1069" t="str">
        <f t="shared" si="16"/>
        <v>Wire of stainless steel, in coils (excl. bars and rods)</v>
      </c>
      <c r="C1059" s="1069" t="s">
        <v>1663</v>
      </c>
      <c r="D1059" s="822"/>
      <c r="E1059" s="822"/>
      <c r="F1059" s="822"/>
      <c r="G1059" s="822"/>
      <c r="H1059" s="822"/>
    </row>
    <row r="1060" spans="1:8" x14ac:dyDescent="0.2">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x14ac:dyDescent="0.2">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x14ac:dyDescent="0.2">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x14ac:dyDescent="0.2">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x14ac:dyDescent="0.2">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x14ac:dyDescent="0.2">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x14ac:dyDescent="0.2">
      <c r="A1066" s="820">
        <v>1062</v>
      </c>
      <c r="B1066" s="1069" t="str">
        <f t="shared" si="16"/>
        <v>Ingots and other primary forms, of tool steel</v>
      </c>
      <c r="C1066" s="1069" t="s">
        <v>1682</v>
      </c>
      <c r="D1066" s="822"/>
      <c r="E1066" s="822"/>
      <c r="F1066" s="822"/>
      <c r="G1066" s="822"/>
      <c r="H1066" s="822"/>
    </row>
    <row r="1067" spans="1:8" x14ac:dyDescent="0.2">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x14ac:dyDescent="0.2">
      <c r="A1068" s="820">
        <v>1064</v>
      </c>
      <c r="B1068" s="1069" t="str">
        <f t="shared" si="16"/>
        <v>Semi-finished products of alloy steel other than stainless</v>
      </c>
      <c r="C1068" s="1069" t="s">
        <v>1687</v>
      </c>
      <c r="D1068" s="822"/>
      <c r="E1068" s="822"/>
      <c r="F1068" s="822"/>
      <c r="G1068" s="822"/>
      <c r="H1068" s="822"/>
    </row>
    <row r="1069" spans="1:8" x14ac:dyDescent="0.2">
      <c r="A1069" s="820">
        <v>1065</v>
      </c>
      <c r="B1069" s="1069" t="str">
        <f t="shared" si="16"/>
        <v>Semi-finished products of tool steel</v>
      </c>
      <c r="C1069" s="1069" t="s">
        <v>1690</v>
      </c>
      <c r="D1069" s="822"/>
      <c r="E1069" s="822"/>
      <c r="F1069" s="822"/>
      <c r="G1069" s="822"/>
      <c r="H1069" s="822"/>
    </row>
    <row r="1070" spans="1:8" x14ac:dyDescent="0.2">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x14ac:dyDescent="0.2">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x14ac:dyDescent="0.2">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x14ac:dyDescent="0.2">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x14ac:dyDescent="0.2">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x14ac:dyDescent="0.2">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x14ac:dyDescent="0.2">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x14ac:dyDescent="0.2">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x14ac:dyDescent="0.2">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x14ac:dyDescent="0.2">
      <c r="A1079" s="820">
        <v>1075</v>
      </c>
      <c r="B1079" s="1069" t="str">
        <f t="shared" si="16"/>
        <v>Flat-rolled products of silicon-electrical steel, of a width of &gt;= 600 mm, grain-oriented</v>
      </c>
      <c r="C1079" s="1069" t="s">
        <v>1719</v>
      </c>
      <c r="D1079" s="822"/>
      <c r="E1079" s="822"/>
      <c r="F1079" s="822"/>
      <c r="G1079" s="822"/>
      <c r="H1079" s="822"/>
    </row>
    <row r="1080" spans="1:8" x14ac:dyDescent="0.2">
      <c r="A1080" s="820">
        <v>1076</v>
      </c>
      <c r="B1080" s="1069" t="str">
        <f t="shared" si="16"/>
        <v>Flat-rolled products of silicon-electrical steel, of a width of &gt;= 600 mm, non-grain-oriented</v>
      </c>
      <c r="C1080" s="1069" t="s">
        <v>1721</v>
      </c>
      <c r="D1080" s="822"/>
      <c r="E1080" s="822"/>
      <c r="F1080" s="822"/>
      <c r="G1080" s="822"/>
      <c r="H1080" s="822"/>
    </row>
    <row r="1081" spans="1:8" x14ac:dyDescent="0.2">
      <c r="A1081" s="820">
        <v>1077</v>
      </c>
      <c r="B1081" s="1069" t="str">
        <f t="shared" si="16"/>
        <v>Flat-rolled products of silicon-electrical steel, of a width of &gt;= 600 mm, hot-rolled</v>
      </c>
      <c r="C1081" s="1069" t="s">
        <v>1724</v>
      </c>
      <c r="D1081" s="822"/>
      <c r="E1081" s="822"/>
      <c r="F1081" s="822"/>
      <c r="G1081" s="822"/>
      <c r="H1081" s="822"/>
    </row>
    <row r="1082" spans="1:8" x14ac:dyDescent="0.2">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x14ac:dyDescent="0.2">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x14ac:dyDescent="0.2">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x14ac:dyDescent="0.2">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x14ac:dyDescent="0.2">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x14ac:dyDescent="0.2">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x14ac:dyDescent="0.2">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x14ac:dyDescent="0.2">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x14ac:dyDescent="0.2">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x14ac:dyDescent="0.2">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x14ac:dyDescent="0.2">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x14ac:dyDescent="0.2">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x14ac:dyDescent="0.2">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x14ac:dyDescent="0.2">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x14ac:dyDescent="0.2">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x14ac:dyDescent="0.2">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x14ac:dyDescent="0.2">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x14ac:dyDescent="0.2">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x14ac:dyDescent="0.2">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x14ac:dyDescent="0.2">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x14ac:dyDescent="0.2">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x14ac:dyDescent="0.2">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x14ac:dyDescent="0.2">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x14ac:dyDescent="0.2">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x14ac:dyDescent="0.2">
      <c r="A1106" s="820">
        <v>1102</v>
      </c>
      <c r="B1106" s="1069" t="str">
        <f t="shared" si="17"/>
        <v>Flat-rolled products of tool steel, of a width of &lt; 600 mm, simply hot-rolled</v>
      </c>
      <c r="C1106" s="1069" t="s">
        <v>1793</v>
      </c>
      <c r="D1106" s="822"/>
      <c r="E1106" s="822"/>
      <c r="F1106" s="822"/>
      <c r="G1106" s="822"/>
      <c r="H1106" s="822"/>
    </row>
    <row r="1107" spans="1:8" x14ac:dyDescent="0.2">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x14ac:dyDescent="0.2">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x14ac:dyDescent="0.2">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x14ac:dyDescent="0.2">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x14ac:dyDescent="0.2">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x14ac:dyDescent="0.2">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x14ac:dyDescent="0.2">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x14ac:dyDescent="0.2">
      <c r="A1114" s="820">
        <v>1110</v>
      </c>
      <c r="B1114" s="1069" t="str">
        <f t="shared" si="17"/>
        <v>Bars and rods of alloy steel other than stainless, hot-rolled, in irregularly wound coils</v>
      </c>
      <c r="C1114" s="1069" t="s">
        <v>1815</v>
      </c>
      <c r="D1114" s="822"/>
      <c r="E1114" s="822"/>
      <c r="F1114" s="822"/>
      <c r="G1114" s="822"/>
      <c r="H1114" s="822"/>
    </row>
    <row r="1115" spans="1:8" x14ac:dyDescent="0.2">
      <c r="A1115" s="820">
        <v>1111</v>
      </c>
      <c r="B1115" s="1069" t="str">
        <f t="shared" si="17"/>
        <v>Bars and rods of high-speed steel, hot-rolled, in irregularly wound coils</v>
      </c>
      <c r="C1115" s="1069" t="s">
        <v>1818</v>
      </c>
      <c r="D1115" s="822"/>
      <c r="E1115" s="822"/>
      <c r="F1115" s="822"/>
      <c r="G1115" s="822"/>
      <c r="H1115" s="822"/>
    </row>
    <row r="1116" spans="1:8" x14ac:dyDescent="0.2">
      <c r="A1116" s="820">
        <v>1112</v>
      </c>
      <c r="B1116" s="1069" t="str">
        <f t="shared" si="17"/>
        <v>Bars and rods of silico-manganese steel, hot-rolled, in irregularly wound coils</v>
      </c>
      <c r="C1116" s="1069" t="s">
        <v>1821</v>
      </c>
      <c r="D1116" s="822"/>
      <c r="E1116" s="822"/>
      <c r="F1116" s="822"/>
      <c r="G1116" s="822"/>
      <c r="H1116" s="822"/>
    </row>
    <row r="1117" spans="1:8" x14ac:dyDescent="0.2">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x14ac:dyDescent="0.2">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x14ac:dyDescent="0.2">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x14ac:dyDescent="0.2">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x14ac:dyDescent="0.2">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x14ac:dyDescent="0.2">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x14ac:dyDescent="0.2">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x14ac:dyDescent="0.2">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x14ac:dyDescent="0.2">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x14ac:dyDescent="0.2">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x14ac:dyDescent="0.2">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x14ac:dyDescent="0.2">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x14ac:dyDescent="0.2">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x14ac:dyDescent="0.2">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x14ac:dyDescent="0.2">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x14ac:dyDescent="0.2">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x14ac:dyDescent="0.2">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x14ac:dyDescent="0.2">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x14ac:dyDescent="0.2">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x14ac:dyDescent="0.2">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x14ac:dyDescent="0.2">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x14ac:dyDescent="0.2">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x14ac:dyDescent="0.2">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x14ac:dyDescent="0.2">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x14ac:dyDescent="0.2">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x14ac:dyDescent="0.2">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x14ac:dyDescent="0.2">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x14ac:dyDescent="0.2">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x14ac:dyDescent="0.2">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x14ac:dyDescent="0.2">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x14ac:dyDescent="0.2">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x14ac:dyDescent="0.2">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x14ac:dyDescent="0.2">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x14ac:dyDescent="0.2">
      <c r="A1150" s="820">
        <v>1146</v>
      </c>
      <c r="B1150" s="1069" t="str">
        <f t="shared" si="17"/>
        <v>Angles, shapes and sections of alloy steel other than stainless, n.e.s.</v>
      </c>
      <c r="C1150" s="1069" t="s">
        <v>1914</v>
      </c>
      <c r="D1150" s="822"/>
      <c r="E1150" s="822"/>
      <c r="F1150" s="822"/>
      <c r="G1150" s="822"/>
      <c r="H1150" s="822"/>
    </row>
    <row r="1151" spans="1:8" x14ac:dyDescent="0.2">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x14ac:dyDescent="0.2">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x14ac:dyDescent="0.2">
      <c r="A1153" s="820">
        <v>1149</v>
      </c>
      <c r="B1153" s="1069" t="str">
        <f t="shared" si="17"/>
        <v>Hollow drill bars and rods, of alloy or non-alloy steel</v>
      </c>
      <c r="C1153" s="1069" t="s">
        <v>1923</v>
      </c>
      <c r="D1153" s="822"/>
      <c r="E1153" s="822"/>
      <c r="F1153" s="822"/>
      <c r="G1153" s="822"/>
      <c r="H1153" s="822"/>
    </row>
    <row r="1154" spans="1:8" x14ac:dyDescent="0.2">
      <c r="A1154" s="820">
        <v>1150</v>
      </c>
      <c r="B1154" s="1069" t="str">
        <f t="shared" si="17"/>
        <v>Wire of alloy steel other than stainless, in coils (excl. bars and rods)</v>
      </c>
      <c r="C1154" s="1069" t="s">
        <v>1925</v>
      </c>
      <c r="D1154" s="822"/>
      <c r="E1154" s="822"/>
      <c r="F1154" s="822"/>
      <c r="G1154" s="822"/>
      <c r="H1154" s="822"/>
    </row>
    <row r="1155" spans="1:8" x14ac:dyDescent="0.2">
      <c r="A1155" s="820">
        <v>1151</v>
      </c>
      <c r="B1155" s="1069" t="str">
        <f t="shared" si="17"/>
        <v>Wire of silico-manganese steel, in coils (excl. bars and rods)</v>
      </c>
      <c r="C1155" s="1069" t="s">
        <v>1928</v>
      </c>
      <c r="D1155" s="822"/>
      <c r="E1155" s="822"/>
      <c r="F1155" s="822"/>
      <c r="G1155" s="822"/>
      <c r="H1155" s="822"/>
    </row>
    <row r="1156" spans="1:8" x14ac:dyDescent="0.2">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x14ac:dyDescent="0.2">
      <c r="A1157" s="820">
        <v>1153</v>
      </c>
      <c r="B1157" s="1069" t="str">
        <f t="shared" si="17"/>
        <v>Wire of high-speed steel, in coils (excl. bars and rods)</v>
      </c>
      <c r="C1157" s="1069" t="s">
        <v>1933</v>
      </c>
      <c r="D1157" s="822"/>
      <c r="E1157" s="822"/>
      <c r="F1157" s="822"/>
      <c r="G1157" s="822"/>
      <c r="H1157" s="822"/>
    </row>
    <row r="1158" spans="1:8" x14ac:dyDescent="0.2">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x14ac:dyDescent="0.2">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x14ac:dyDescent="0.2">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x14ac:dyDescent="0.2">
      <c r="A1161" s="820">
        <v>1157</v>
      </c>
      <c r="B1161" s="1069" t="str">
        <f t="shared" si="18"/>
        <v>Sheet piling of iron or steel, whether or not drilled, punched or made from assembled elements</v>
      </c>
      <c r="C1161" s="1069" t="s">
        <v>1944</v>
      </c>
      <c r="D1161" s="822"/>
      <c r="E1161" s="822"/>
      <c r="F1161" s="822"/>
      <c r="G1161" s="822"/>
      <c r="H1161" s="822"/>
    </row>
    <row r="1162" spans="1:8" x14ac:dyDescent="0.2">
      <c r="A1162" s="820">
        <v>1158</v>
      </c>
      <c r="B1162" s="1069" t="str">
        <f t="shared" si="18"/>
        <v>Angles, shapes and sections, of iron or steel, welded</v>
      </c>
      <c r="C1162" s="1069" t="s">
        <v>1947</v>
      </c>
      <c r="D1162" s="822"/>
      <c r="E1162" s="822"/>
      <c r="F1162" s="822"/>
      <c r="G1162" s="822"/>
      <c r="H1162" s="822"/>
    </row>
    <row r="1163" spans="1:8" x14ac:dyDescent="0.2">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x14ac:dyDescent="0.2">
      <c r="A1164" s="820">
        <v>1160</v>
      </c>
      <c r="B1164" s="1069" t="str">
        <f t="shared" si="18"/>
        <v>Rails of iron or steel, for railway or tramway track (excl. check-rails)</v>
      </c>
      <c r="C1164" s="1069" t="s">
        <v>1951</v>
      </c>
      <c r="D1164" s="822"/>
      <c r="E1164" s="822"/>
      <c r="F1164" s="822"/>
      <c r="G1164" s="822"/>
      <c r="H1164" s="822"/>
    </row>
    <row r="1165" spans="1:8" x14ac:dyDescent="0.2">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x14ac:dyDescent="0.2">
      <c r="A1166" s="820">
        <v>1162</v>
      </c>
      <c r="B1166" s="1069" t="str">
        <f t="shared" si="18"/>
        <v>Vignole rails of iron or steel, for railway or tramway track, new, of a weight of &gt;= 36 kg/m</v>
      </c>
      <c r="C1166" s="1069" t="s">
        <v>1957</v>
      </c>
      <c r="D1166" s="822"/>
      <c r="E1166" s="822"/>
      <c r="F1166" s="822"/>
      <c r="G1166" s="822"/>
      <c r="H1166" s="822"/>
    </row>
    <row r="1167" spans="1:8" x14ac:dyDescent="0.2">
      <c r="A1167" s="820">
        <v>1163</v>
      </c>
      <c r="B1167" s="1069" t="str">
        <f t="shared" si="18"/>
        <v>Vignole rails of iron or steel, for railway or tramway track, new, of a weight of &lt; 36 kg/m</v>
      </c>
      <c r="C1167" s="1069" t="s">
        <v>1960</v>
      </c>
      <c r="D1167" s="822"/>
      <c r="E1167" s="822"/>
      <c r="F1167" s="822"/>
      <c r="G1167" s="822"/>
      <c r="H1167" s="822"/>
    </row>
    <row r="1168" spans="1:8" x14ac:dyDescent="0.2">
      <c r="A1168" s="820">
        <v>1164</v>
      </c>
      <c r="B1168" s="1069" t="str">
        <f t="shared" si="18"/>
        <v>Grooved rails of iron or steel, for railway or tramway track, new</v>
      </c>
      <c r="C1168" s="1069" t="s">
        <v>1963</v>
      </c>
      <c r="D1168" s="822"/>
      <c r="E1168" s="822"/>
      <c r="F1168" s="822"/>
      <c r="G1168" s="822"/>
      <c r="H1168" s="822"/>
    </row>
    <row r="1169" spans="1:8" x14ac:dyDescent="0.2">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x14ac:dyDescent="0.2">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x14ac:dyDescent="0.2">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x14ac:dyDescent="0.2">
      <c r="A1172" s="820">
        <v>1168</v>
      </c>
      <c r="B1172" s="1069" t="str">
        <f t="shared" si="18"/>
        <v>Fish-plates and sole plates of iron or steel, for railways or tramways</v>
      </c>
      <c r="C1172" s="1069" t="s">
        <v>1975</v>
      </c>
      <c r="D1172" s="822"/>
      <c r="E1172" s="822"/>
      <c r="F1172" s="822"/>
      <c r="G1172" s="822"/>
      <c r="H1172" s="822"/>
    </row>
    <row r="1173" spans="1:8" x14ac:dyDescent="0.2">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x14ac:dyDescent="0.2">
      <c r="A1174" s="820">
        <v>1170</v>
      </c>
      <c r="B1174" s="1069" t="str">
        <f t="shared" si="18"/>
        <v>Tubes, pipes and hollow profiles, of cast iron</v>
      </c>
      <c r="C1174" s="1069" t="s">
        <v>1980</v>
      </c>
      <c r="D1174" s="822"/>
      <c r="E1174" s="822"/>
      <c r="F1174" s="822"/>
      <c r="G1174" s="822"/>
      <c r="H1174" s="822"/>
    </row>
    <row r="1175" spans="1:8" x14ac:dyDescent="0.2">
      <c r="A1175" s="820">
        <v>1171</v>
      </c>
      <c r="B1175" s="1069" t="str">
        <f t="shared" si="18"/>
        <v>Tubes and pipes of a kind used in pressure systems, of cast iron</v>
      </c>
      <c r="C1175" s="1069" t="s">
        <v>1983</v>
      </c>
      <c r="D1175" s="822"/>
      <c r="E1175" s="822"/>
      <c r="F1175" s="822"/>
      <c r="G1175" s="822"/>
      <c r="H1175" s="822"/>
    </row>
    <row r="1176" spans="1:8" x14ac:dyDescent="0.2">
      <c r="A1176" s="820">
        <v>1172</v>
      </c>
      <c r="B1176" s="1069" t="str">
        <f t="shared" si="18"/>
        <v>Tubes, pipes and hollow profiles, of cast iron (excl. products of a kind used in pressure systems)</v>
      </c>
      <c r="C1176" s="1069" t="s">
        <v>1986</v>
      </c>
      <c r="D1176" s="822"/>
      <c r="E1176" s="822"/>
      <c r="F1176" s="822"/>
      <c r="G1176" s="822"/>
      <c r="H1176" s="822"/>
    </row>
    <row r="1177" spans="1:8" x14ac:dyDescent="0.2">
      <c r="A1177" s="820">
        <v>1173</v>
      </c>
      <c r="B1177" s="1069" t="str">
        <f t="shared" si="18"/>
        <v>Tubes, pipes and hollow profiles, seamless, of iron or steel (excl. products of cast iron)</v>
      </c>
      <c r="C1177" s="1069" t="s">
        <v>1988</v>
      </c>
      <c r="D1177" s="822"/>
      <c r="E1177" s="822"/>
      <c r="F1177" s="822"/>
      <c r="G1177" s="822"/>
      <c r="H1177" s="822"/>
    </row>
    <row r="1178" spans="1:8" x14ac:dyDescent="0.2">
      <c r="A1178" s="820">
        <v>1174</v>
      </c>
      <c r="B1178" s="1069" t="str">
        <f t="shared" si="18"/>
        <v>Line pipe of a kind used for oil or gas pipelines, seamless, of stainless steel</v>
      </c>
      <c r="C1178" s="1069" t="s">
        <v>1991</v>
      </c>
      <c r="D1178" s="822"/>
      <c r="E1178" s="822"/>
      <c r="F1178" s="822"/>
      <c r="G1178" s="822"/>
      <c r="H1178" s="822"/>
    </row>
    <row r="1179" spans="1:8" x14ac:dyDescent="0.2">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x14ac:dyDescent="0.2">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x14ac:dyDescent="0.2">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x14ac:dyDescent="0.2">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x14ac:dyDescent="0.2">
      <c r="A1183" s="820">
        <v>1179</v>
      </c>
      <c r="B1183" s="1069" t="str">
        <f t="shared" si="18"/>
        <v>Drill pipe, seamless, of stainless steel, of a kind used in drilling for oil or gas</v>
      </c>
      <c r="C1183" s="1069" t="s">
        <v>2005</v>
      </c>
      <c r="D1183" s="822"/>
      <c r="E1183" s="822"/>
      <c r="F1183" s="822"/>
      <c r="G1183" s="822"/>
      <c r="H1183" s="822"/>
    </row>
    <row r="1184" spans="1:8" x14ac:dyDescent="0.2">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x14ac:dyDescent="0.2">
      <c r="A1185" s="820">
        <v>1181</v>
      </c>
      <c r="B1185" s="1069" t="str">
        <f t="shared" si="18"/>
        <v>Casing and tubing, seamless, of a kind used for drilling for oil or gas, of stainless steel</v>
      </c>
      <c r="C1185" s="1069" t="s">
        <v>2011</v>
      </c>
      <c r="D1185" s="822"/>
      <c r="E1185" s="822"/>
      <c r="F1185" s="822"/>
      <c r="G1185" s="822"/>
      <c r="H1185" s="822"/>
    </row>
    <row r="1186" spans="1:8" x14ac:dyDescent="0.2">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x14ac:dyDescent="0.2">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x14ac:dyDescent="0.2">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x14ac:dyDescent="0.2">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x14ac:dyDescent="0.2">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x14ac:dyDescent="0.2">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x14ac:dyDescent="0.2">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x14ac:dyDescent="0.2">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x14ac:dyDescent="0.2">
      <c r="A1194" s="820">
        <v>1190</v>
      </c>
      <c r="B1194" s="1069" t="str">
        <f t="shared" si="18"/>
        <v>Threaded or threadable tubes "gas pipe", seamless, of iron or non-alloy steel (excl. of cast iron)</v>
      </c>
      <c r="C1194" s="1069" t="s">
        <v>2035</v>
      </c>
      <c r="D1194" s="822"/>
      <c r="E1194" s="822"/>
      <c r="F1194" s="822"/>
      <c r="G1194" s="822"/>
      <c r="H1194" s="822"/>
    </row>
    <row r="1195" spans="1:8" x14ac:dyDescent="0.2">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x14ac:dyDescent="0.2">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x14ac:dyDescent="0.2">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x14ac:dyDescent="0.2">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x14ac:dyDescent="0.2">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x14ac:dyDescent="0.2">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x14ac:dyDescent="0.2">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x14ac:dyDescent="0.2">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x14ac:dyDescent="0.2">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x14ac:dyDescent="0.2">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x14ac:dyDescent="0.2">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x14ac:dyDescent="0.2">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x14ac:dyDescent="0.2">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x14ac:dyDescent="0.2">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x14ac:dyDescent="0.2">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x14ac:dyDescent="0.2">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x14ac:dyDescent="0.2">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x14ac:dyDescent="0.2">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x14ac:dyDescent="0.2">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x14ac:dyDescent="0.2">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x14ac:dyDescent="0.2">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x14ac:dyDescent="0.2">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x14ac:dyDescent="0.2">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x14ac:dyDescent="0.2">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x14ac:dyDescent="0.2">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x14ac:dyDescent="0.2">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x14ac:dyDescent="0.2">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x14ac:dyDescent="0.2">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x14ac:dyDescent="0.2">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x14ac:dyDescent="0.2">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x14ac:dyDescent="0.2">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x14ac:dyDescent="0.2">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x14ac:dyDescent="0.2">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x14ac:dyDescent="0.2">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x14ac:dyDescent="0.2">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x14ac:dyDescent="0.2">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x14ac:dyDescent="0.2">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x14ac:dyDescent="0.2">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x14ac:dyDescent="0.2">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x14ac:dyDescent="0.2">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x14ac:dyDescent="0.2">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x14ac:dyDescent="0.2">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x14ac:dyDescent="0.2">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x14ac:dyDescent="0.2">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x14ac:dyDescent="0.2">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x14ac:dyDescent="0.2">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x14ac:dyDescent="0.2">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x14ac:dyDescent="0.2">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x14ac:dyDescent="0.2">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x14ac:dyDescent="0.2">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x14ac:dyDescent="0.2">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x14ac:dyDescent="0.2">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x14ac:dyDescent="0.2">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x14ac:dyDescent="0.2">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x14ac:dyDescent="0.2">
      <c r="A1249" s="820">
        <v>1245</v>
      </c>
      <c r="B1249" s="1069" t="str">
        <f t="shared" si="19"/>
        <v>Tube or pipe fittings "e.g. couplings, elbows, sleeves", of iron or steel</v>
      </c>
      <c r="C1249" s="1069" t="s">
        <v>2189</v>
      </c>
      <c r="D1249" s="822"/>
      <c r="E1249" s="822"/>
      <c r="F1249" s="822"/>
      <c r="G1249" s="822"/>
      <c r="H1249" s="822"/>
    </row>
    <row r="1250" spans="1:8" x14ac:dyDescent="0.2">
      <c r="A1250" s="820">
        <v>1246</v>
      </c>
      <c r="B1250" s="1069" t="str">
        <f t="shared" si="19"/>
        <v>Tube or pipe fittings of non-malleable cast iron</v>
      </c>
      <c r="C1250" s="1069" t="s">
        <v>2191</v>
      </c>
      <c r="D1250" s="822"/>
      <c r="E1250" s="822"/>
      <c r="F1250" s="822"/>
      <c r="G1250" s="822"/>
      <c r="H1250" s="822"/>
    </row>
    <row r="1251" spans="1:8" x14ac:dyDescent="0.2">
      <c r="A1251" s="820">
        <v>1247</v>
      </c>
      <c r="B1251" s="1069" t="str">
        <f t="shared" si="19"/>
        <v>Tube or pipe fittings of non-malleable cast iron, of a kind used in pressure systems</v>
      </c>
      <c r="C1251" s="1069" t="s">
        <v>2194</v>
      </c>
      <c r="D1251" s="822"/>
      <c r="E1251" s="822"/>
      <c r="F1251" s="822"/>
      <c r="G1251" s="822"/>
      <c r="H1251" s="822"/>
    </row>
    <row r="1252" spans="1:8" x14ac:dyDescent="0.2">
      <c r="A1252" s="820">
        <v>1248</v>
      </c>
      <c r="B1252" s="1069" t="str">
        <f t="shared" si="19"/>
        <v>Tube or pipe fittings of non-malleable cast iron (excl. products of a kind used in pressure systems)</v>
      </c>
      <c r="C1252" s="1069" t="s">
        <v>2197</v>
      </c>
      <c r="D1252" s="822"/>
      <c r="E1252" s="822"/>
      <c r="F1252" s="822"/>
      <c r="G1252" s="822"/>
      <c r="H1252" s="822"/>
    </row>
    <row r="1253" spans="1:8" x14ac:dyDescent="0.2">
      <c r="A1253" s="820">
        <v>1249</v>
      </c>
      <c r="B1253" s="1069" t="str">
        <f t="shared" si="19"/>
        <v>Cast tube or pipe fittings of iron or steel (excl. products of non-malleable cast iron)</v>
      </c>
      <c r="C1253" s="1069" t="s">
        <v>2199</v>
      </c>
      <c r="D1253" s="822"/>
      <c r="E1253" s="822"/>
      <c r="F1253" s="822"/>
      <c r="G1253" s="822"/>
      <c r="H1253" s="822"/>
    </row>
    <row r="1254" spans="1:8" x14ac:dyDescent="0.2">
      <c r="A1254" s="820">
        <v>1250</v>
      </c>
      <c r="B1254" s="1069" t="str">
        <f t="shared" si="19"/>
        <v>Tube or pipe fittings of cast iron (excl. of non-malleable)</v>
      </c>
      <c r="C1254" s="1069" t="s">
        <v>2202</v>
      </c>
      <c r="D1254" s="822"/>
      <c r="E1254" s="822"/>
      <c r="F1254" s="822"/>
      <c r="G1254" s="822"/>
      <c r="H1254" s="822"/>
    </row>
    <row r="1255" spans="1:8" x14ac:dyDescent="0.2">
      <c r="A1255" s="820">
        <v>1251</v>
      </c>
      <c r="B1255" s="1069" t="str">
        <f t="shared" si="19"/>
        <v>Cast tube or pipe fittings of steel</v>
      </c>
      <c r="C1255" s="1069" t="s">
        <v>2205</v>
      </c>
      <c r="D1255" s="822"/>
      <c r="E1255" s="822"/>
      <c r="F1255" s="822"/>
      <c r="G1255" s="822"/>
      <c r="H1255" s="822"/>
    </row>
    <row r="1256" spans="1:8" x14ac:dyDescent="0.2">
      <c r="A1256" s="820">
        <v>1252</v>
      </c>
      <c r="B1256" s="1069" t="str">
        <f t="shared" si="19"/>
        <v>Flanges of stainless steel (excl. cast products)</v>
      </c>
      <c r="C1256" s="1069" t="s">
        <v>2208</v>
      </c>
      <c r="D1256" s="822"/>
      <c r="E1256" s="822"/>
      <c r="F1256" s="822"/>
      <c r="G1256" s="822"/>
      <c r="H1256" s="822"/>
    </row>
    <row r="1257" spans="1:8" x14ac:dyDescent="0.2">
      <c r="A1257" s="820">
        <v>1253</v>
      </c>
      <c r="B1257" s="1069" t="str">
        <f t="shared" si="19"/>
        <v>Threaded elbows, bends and sleeves of stainless steel (excl. cast products)</v>
      </c>
      <c r="C1257" s="1069" t="s">
        <v>2210</v>
      </c>
      <c r="D1257" s="822"/>
      <c r="E1257" s="822"/>
      <c r="F1257" s="822"/>
      <c r="G1257" s="822"/>
      <c r="H1257" s="822"/>
    </row>
    <row r="1258" spans="1:8" x14ac:dyDescent="0.2">
      <c r="A1258" s="820">
        <v>1254</v>
      </c>
      <c r="B1258" s="1069" t="str">
        <f t="shared" si="19"/>
        <v>Sleeves, of stainless steel, threaded (excl. cast products)</v>
      </c>
      <c r="C1258" s="1069" t="s">
        <v>2213</v>
      </c>
      <c r="D1258" s="822"/>
      <c r="E1258" s="822"/>
      <c r="F1258" s="822"/>
      <c r="G1258" s="822"/>
      <c r="H1258" s="822"/>
    </row>
    <row r="1259" spans="1:8" x14ac:dyDescent="0.2">
      <c r="A1259" s="820">
        <v>1255</v>
      </c>
      <c r="B1259" s="1069" t="str">
        <f t="shared" si="19"/>
        <v>Elbows and bends, of stainless steel, threaded (excl. cast products)</v>
      </c>
      <c r="C1259" s="1069" t="s">
        <v>2216</v>
      </c>
      <c r="D1259" s="822"/>
      <c r="E1259" s="822"/>
      <c r="F1259" s="822"/>
      <c r="G1259" s="822"/>
      <c r="H1259" s="822"/>
    </row>
    <row r="1260" spans="1:8" x14ac:dyDescent="0.2">
      <c r="A1260" s="820">
        <v>1256</v>
      </c>
      <c r="B1260" s="1069" t="str">
        <f t="shared" si="19"/>
        <v>Butt welding tube or pipe fittings of stainless steel (excl. cast products)</v>
      </c>
      <c r="C1260" s="1069" t="s">
        <v>2218</v>
      </c>
      <c r="D1260" s="822"/>
      <c r="E1260" s="822"/>
      <c r="F1260" s="822"/>
      <c r="G1260" s="822"/>
      <c r="H1260" s="822"/>
    </row>
    <row r="1261" spans="1:8" x14ac:dyDescent="0.2">
      <c r="A1261" s="820">
        <v>1257</v>
      </c>
      <c r="B1261" s="1069" t="str">
        <f t="shared" si="19"/>
        <v>Butt welding elbows and bends of stainless steel (excl. cast products)</v>
      </c>
      <c r="C1261" s="1069" t="s">
        <v>2221</v>
      </c>
      <c r="D1261" s="822"/>
      <c r="E1261" s="822"/>
      <c r="F1261" s="822"/>
      <c r="G1261" s="822"/>
      <c r="H1261" s="822"/>
    </row>
    <row r="1262" spans="1:8" x14ac:dyDescent="0.2">
      <c r="A1262" s="820">
        <v>1258</v>
      </c>
      <c r="B1262" s="1069" t="str">
        <f t="shared" si="19"/>
        <v>Butt welding tube or pipe fittings of stainless steel (excl. cast products and elbows and bends)</v>
      </c>
      <c r="C1262" s="1069" t="s">
        <v>2224</v>
      </c>
      <c r="D1262" s="822"/>
      <c r="E1262" s="822"/>
      <c r="F1262" s="822"/>
      <c r="G1262" s="822"/>
      <c r="H1262" s="822"/>
    </row>
    <row r="1263" spans="1:8" x14ac:dyDescent="0.2">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x14ac:dyDescent="0.2">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x14ac:dyDescent="0.2">
      <c r="A1265" s="820">
        <v>1261</v>
      </c>
      <c r="B1265" s="1069" t="str">
        <f t="shared" si="19"/>
        <v>Tube or pipe fittings of stainless steel (excl. cast, threaded, butt welding fittings and flanges)</v>
      </c>
      <c r="C1265" s="1069" t="s">
        <v>2232</v>
      </c>
      <c r="D1265" s="822"/>
      <c r="E1265" s="822"/>
      <c r="F1265" s="822"/>
      <c r="G1265" s="822"/>
      <c r="H1265" s="822"/>
    </row>
    <row r="1266" spans="1:8" x14ac:dyDescent="0.2">
      <c r="A1266" s="820">
        <v>1262</v>
      </c>
      <c r="B1266" s="1069" t="str">
        <f t="shared" si="19"/>
        <v>Flanges of iron or steel (excl. cast or stainless products)</v>
      </c>
      <c r="C1266" s="1069" t="s">
        <v>2235</v>
      </c>
      <c r="D1266" s="822"/>
      <c r="E1266" s="822"/>
      <c r="F1266" s="822"/>
      <c r="G1266" s="822"/>
      <c r="H1266" s="822"/>
    </row>
    <row r="1267" spans="1:8" x14ac:dyDescent="0.2">
      <c r="A1267" s="820">
        <v>1263</v>
      </c>
      <c r="B1267" s="1069" t="str">
        <f t="shared" si="19"/>
        <v>Threaded elbows, bends and sleeves, of stainless steel (excl. cast or stainless products)</v>
      </c>
      <c r="C1267" s="1069" t="s">
        <v>2237</v>
      </c>
      <c r="D1267" s="822"/>
      <c r="E1267" s="822"/>
      <c r="F1267" s="822"/>
      <c r="G1267" s="822"/>
      <c r="H1267" s="822"/>
    </row>
    <row r="1268" spans="1:8" x14ac:dyDescent="0.2">
      <c r="A1268" s="820">
        <v>1264</v>
      </c>
      <c r="B1268" s="1069" t="str">
        <f t="shared" si="19"/>
        <v>Sleeves of iron or steel, threaded (excl. cast or of stainless steel)</v>
      </c>
      <c r="C1268" s="1069" t="s">
        <v>2240</v>
      </c>
      <c r="D1268" s="822"/>
      <c r="E1268" s="822"/>
      <c r="F1268" s="822"/>
      <c r="G1268" s="822"/>
      <c r="H1268" s="822"/>
    </row>
    <row r="1269" spans="1:8" x14ac:dyDescent="0.2">
      <c r="A1269" s="820">
        <v>1265</v>
      </c>
      <c r="B1269" s="1069" t="str">
        <f t="shared" si="19"/>
        <v>Elbows and bends, of iron or steel, threaded (excl. cast or of stainless steel)</v>
      </c>
      <c r="C1269" s="1069" t="s">
        <v>2243</v>
      </c>
      <c r="D1269" s="822"/>
      <c r="E1269" s="822"/>
      <c r="F1269" s="822"/>
      <c r="G1269" s="822"/>
      <c r="H1269" s="822"/>
    </row>
    <row r="1270" spans="1:8" x14ac:dyDescent="0.2">
      <c r="A1270" s="820">
        <v>1266</v>
      </c>
      <c r="B1270" s="1069" t="str">
        <f t="shared" si="19"/>
        <v>Butt welding fittings of iron or steel (excl. cast iron or stainless steel products, and flanges)</v>
      </c>
      <c r="C1270" s="1069" t="s">
        <v>2245</v>
      </c>
      <c r="D1270" s="822"/>
      <c r="E1270" s="822"/>
      <c r="F1270" s="822"/>
      <c r="G1270" s="822"/>
      <c r="H1270" s="822"/>
    </row>
    <row r="1271" spans="1:8" x14ac:dyDescent="0.2">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x14ac:dyDescent="0.2">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x14ac:dyDescent="0.2">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x14ac:dyDescent="0.2">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x14ac:dyDescent="0.2">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x14ac:dyDescent="0.2">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x14ac:dyDescent="0.2">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x14ac:dyDescent="0.2">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x14ac:dyDescent="0.2">
      <c r="A1279" s="820">
        <v>1275</v>
      </c>
      <c r="B1279" s="1069" t="str">
        <f t="shared" si="19"/>
        <v>Bridges and bridge-sections, of iron or steel</v>
      </c>
      <c r="C1279" s="1069" t="s">
        <v>2270</v>
      </c>
      <c r="D1279" s="822"/>
      <c r="E1279" s="822"/>
      <c r="F1279" s="822"/>
      <c r="G1279" s="822"/>
      <c r="H1279" s="822"/>
    </row>
    <row r="1280" spans="1:8" x14ac:dyDescent="0.2">
      <c r="A1280" s="820">
        <v>1276</v>
      </c>
      <c r="B1280" s="1069" t="str">
        <f t="shared" si="19"/>
        <v>Towers and lattice masts, of iron or steel</v>
      </c>
      <c r="C1280" s="1069" t="s">
        <v>2273</v>
      </c>
      <c r="D1280" s="822"/>
      <c r="E1280" s="822"/>
      <c r="F1280" s="822"/>
      <c r="G1280" s="822"/>
      <c r="H1280" s="822"/>
    </row>
    <row r="1281" spans="1:8" x14ac:dyDescent="0.2">
      <c r="A1281" s="820">
        <v>1277</v>
      </c>
      <c r="B1281" s="1069" t="str">
        <f t="shared" si="19"/>
        <v>Doors, windows and their frames and thresholds for doors, of iron or steel</v>
      </c>
      <c r="C1281" s="1069" t="s">
        <v>2276</v>
      </c>
      <c r="D1281" s="822"/>
      <c r="E1281" s="822"/>
      <c r="F1281" s="822"/>
      <c r="G1281" s="822"/>
      <c r="H1281" s="822"/>
    </row>
    <row r="1282" spans="1:8" x14ac:dyDescent="0.2">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x14ac:dyDescent="0.2">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x14ac:dyDescent="0.2">
      <c r="A1284" s="820">
        <v>1280</v>
      </c>
      <c r="B1284" s="1069" t="str">
        <f t="shared" si="19"/>
        <v>Panels comprising two walls of profiled "ribbed" sheet, of iron or steel, with an insulating core</v>
      </c>
      <c r="C1284" s="1069" t="s">
        <v>2284</v>
      </c>
      <c r="D1284" s="822"/>
      <c r="E1284" s="822"/>
      <c r="F1284" s="822"/>
      <c r="G1284" s="822"/>
      <c r="H1284" s="822"/>
    </row>
    <row r="1285" spans="1:8" x14ac:dyDescent="0.2">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x14ac:dyDescent="0.2">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x14ac:dyDescent="0.2">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x14ac:dyDescent="0.2">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x14ac:dyDescent="0.2">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x14ac:dyDescent="0.2">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x14ac:dyDescent="0.2">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x14ac:dyDescent="0.2">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x14ac:dyDescent="0.2">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x14ac:dyDescent="0.2">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x14ac:dyDescent="0.2">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x14ac:dyDescent="0.2">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x14ac:dyDescent="0.2">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x14ac:dyDescent="0.2">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x14ac:dyDescent="0.2">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x14ac:dyDescent="0.2">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x14ac:dyDescent="0.2">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x14ac:dyDescent="0.2">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x14ac:dyDescent="0.2">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x14ac:dyDescent="0.2">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x14ac:dyDescent="0.2">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x14ac:dyDescent="0.2">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x14ac:dyDescent="0.2">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x14ac:dyDescent="0.2">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x14ac:dyDescent="0.2">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x14ac:dyDescent="0.2">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x14ac:dyDescent="0.2">
      <c r="A1311" s="820">
        <v>1307</v>
      </c>
      <c r="B1311" s="1069" t="str">
        <f t="shared" si="20"/>
        <v>Coach screws of iron or steel</v>
      </c>
      <c r="C1311" s="1069" t="s">
        <v>2359</v>
      </c>
      <c r="D1311" s="822"/>
      <c r="E1311" s="822"/>
      <c r="F1311" s="822"/>
      <c r="G1311" s="822"/>
      <c r="H1311" s="822"/>
    </row>
    <row r="1312" spans="1:8" x14ac:dyDescent="0.2">
      <c r="A1312" s="820">
        <v>1308</v>
      </c>
      <c r="B1312" s="1069" t="str">
        <f t="shared" si="20"/>
        <v>Wood screws of iron or steel (excl. coach screws)</v>
      </c>
      <c r="C1312" s="1069" t="s">
        <v>2361</v>
      </c>
      <c r="D1312" s="822"/>
      <c r="E1312" s="822"/>
      <c r="F1312" s="822"/>
      <c r="G1312" s="822"/>
      <c r="H1312" s="822"/>
    </row>
    <row r="1313" spans="1:8" x14ac:dyDescent="0.2">
      <c r="A1313" s="820">
        <v>1309</v>
      </c>
      <c r="B1313" s="1069" t="str">
        <f t="shared" si="20"/>
        <v>Wood screws of stainless steel (excl. coach screws)</v>
      </c>
      <c r="C1313" s="1069" t="s">
        <v>2364</v>
      </c>
      <c r="D1313" s="822"/>
      <c r="E1313" s="822"/>
      <c r="F1313" s="822"/>
      <c r="G1313" s="822"/>
      <c r="H1313" s="822"/>
    </row>
    <row r="1314" spans="1:8" x14ac:dyDescent="0.2">
      <c r="A1314" s="820">
        <v>1310</v>
      </c>
      <c r="B1314" s="1069" t="str">
        <f t="shared" si="20"/>
        <v>Wood screws of iron or steel other than stainless (excl. coach screws)</v>
      </c>
      <c r="C1314" s="1069" t="s">
        <v>2367</v>
      </c>
      <c r="D1314" s="822"/>
      <c r="E1314" s="822"/>
      <c r="F1314" s="822"/>
      <c r="G1314" s="822"/>
      <c r="H1314" s="822"/>
    </row>
    <row r="1315" spans="1:8" x14ac:dyDescent="0.2">
      <c r="A1315" s="820">
        <v>1311</v>
      </c>
      <c r="B1315" s="1069" t="str">
        <f t="shared" si="20"/>
        <v>Screw hooks and screw rings, of iron or steel</v>
      </c>
      <c r="C1315" s="1069" t="s">
        <v>2370</v>
      </c>
      <c r="D1315" s="822"/>
      <c r="E1315" s="822"/>
      <c r="F1315" s="822"/>
      <c r="G1315" s="822"/>
      <c r="H1315" s="822"/>
    </row>
    <row r="1316" spans="1:8" x14ac:dyDescent="0.2">
      <c r="A1316" s="820">
        <v>1312</v>
      </c>
      <c r="B1316" s="1069" t="str">
        <f t="shared" si="20"/>
        <v>Self-tapping screws, of iron or steel (excl. wood screws)</v>
      </c>
      <c r="C1316" s="1069" t="s">
        <v>2372</v>
      </c>
      <c r="D1316" s="822"/>
      <c r="E1316" s="822"/>
      <c r="F1316" s="822"/>
      <c r="G1316" s="822"/>
      <c r="H1316" s="822"/>
    </row>
    <row r="1317" spans="1:8" x14ac:dyDescent="0.2">
      <c r="A1317" s="820">
        <v>1313</v>
      </c>
      <c r="B1317" s="1069" t="str">
        <f t="shared" si="20"/>
        <v>Self-tapping screws, of stainless steel (excl. wood screws)</v>
      </c>
      <c r="C1317" s="1069" t="s">
        <v>2375</v>
      </c>
      <c r="D1317" s="822"/>
      <c r="E1317" s="822"/>
      <c r="F1317" s="822"/>
      <c r="G1317" s="822"/>
      <c r="H1317" s="822"/>
    </row>
    <row r="1318" spans="1:8" x14ac:dyDescent="0.2">
      <c r="A1318" s="820">
        <v>1314</v>
      </c>
      <c r="B1318" s="1069" t="str">
        <f t="shared" si="20"/>
        <v>Spaced-thread screws of iron or steel other than stainless</v>
      </c>
      <c r="C1318" s="1069" t="s">
        <v>2378</v>
      </c>
      <c r="D1318" s="822"/>
      <c r="E1318" s="822"/>
      <c r="F1318" s="822"/>
      <c r="G1318" s="822"/>
      <c r="H1318" s="822"/>
    </row>
    <row r="1319" spans="1:8" x14ac:dyDescent="0.2">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x14ac:dyDescent="0.2">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x14ac:dyDescent="0.2">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x14ac:dyDescent="0.2">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x14ac:dyDescent="0.2">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x14ac:dyDescent="0.2">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x14ac:dyDescent="0.2">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x14ac:dyDescent="0.2">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x14ac:dyDescent="0.2">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x14ac:dyDescent="0.2">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x14ac:dyDescent="0.2">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x14ac:dyDescent="0.2">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x14ac:dyDescent="0.2">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x14ac:dyDescent="0.2">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x14ac:dyDescent="0.2">
      <c r="A1333" s="820">
        <v>1329</v>
      </c>
      <c r="B1333" s="1069" t="str">
        <f t="shared" si="20"/>
        <v>Nuts of iron or steel</v>
      </c>
      <c r="C1333" s="1069" t="s">
        <v>2421</v>
      </c>
      <c r="D1333" s="822"/>
      <c r="E1333" s="822"/>
      <c r="F1333" s="822"/>
      <c r="G1333" s="822"/>
      <c r="H1333" s="822"/>
    </row>
    <row r="1334" spans="1:8" x14ac:dyDescent="0.2">
      <c r="A1334" s="820">
        <v>1330</v>
      </c>
      <c r="B1334" s="1069" t="str">
        <f t="shared" si="20"/>
        <v>Blind rivet nuts of stainless steel</v>
      </c>
      <c r="C1334" s="1069" t="s">
        <v>2424</v>
      </c>
      <c r="D1334" s="822"/>
      <c r="E1334" s="822"/>
      <c r="F1334" s="822"/>
      <c r="G1334" s="822"/>
      <c r="H1334" s="822"/>
    </row>
    <row r="1335" spans="1:8" x14ac:dyDescent="0.2">
      <c r="A1335" s="820">
        <v>1331</v>
      </c>
      <c r="B1335" s="1069" t="str">
        <f t="shared" si="20"/>
        <v>Nuts of stainless steel (excl. blind rivet nuts)</v>
      </c>
      <c r="C1335" s="1069" t="s">
        <v>2427</v>
      </c>
      <c r="D1335" s="822"/>
      <c r="E1335" s="822"/>
      <c r="F1335" s="822"/>
      <c r="G1335" s="822"/>
      <c r="H1335" s="822"/>
    </row>
    <row r="1336" spans="1:8" x14ac:dyDescent="0.2">
      <c r="A1336" s="820">
        <v>1332</v>
      </c>
      <c r="B1336" s="1069" t="str">
        <f t="shared" si="20"/>
        <v>Blind rivet nuts of iron or steel other than stainless</v>
      </c>
      <c r="C1336" s="1069" t="s">
        <v>2430</v>
      </c>
      <c r="D1336" s="822"/>
      <c r="E1336" s="822"/>
      <c r="F1336" s="822"/>
      <c r="G1336" s="822"/>
      <c r="H1336" s="822"/>
    </row>
    <row r="1337" spans="1:8" x14ac:dyDescent="0.2">
      <c r="A1337" s="820">
        <v>1333</v>
      </c>
      <c r="B1337" s="1069" t="str">
        <f t="shared" si="20"/>
        <v>Self-locking nuts of iron or steel other than stainless</v>
      </c>
      <c r="C1337" s="1069" t="s">
        <v>2433</v>
      </c>
      <c r="D1337" s="822"/>
      <c r="E1337" s="822"/>
      <c r="F1337" s="822"/>
      <c r="G1337" s="822"/>
      <c r="H1337" s="822"/>
    </row>
    <row r="1338" spans="1:8" x14ac:dyDescent="0.2">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x14ac:dyDescent="0.2">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x14ac:dyDescent="0.2">
      <c r="A1340" s="820">
        <v>1336</v>
      </c>
      <c r="B1340" s="1069" t="str">
        <f t="shared" si="20"/>
        <v>Threaded articles, of iron or steel, n.e.s.</v>
      </c>
      <c r="C1340" s="1069" t="s">
        <v>2442</v>
      </c>
      <c r="D1340" s="822"/>
      <c r="E1340" s="822"/>
      <c r="F1340" s="822"/>
      <c r="G1340" s="822"/>
      <c r="H1340" s="822"/>
    </row>
    <row r="1341" spans="1:8" x14ac:dyDescent="0.2">
      <c r="A1341" s="820">
        <v>1337</v>
      </c>
      <c r="B1341" s="1069" t="str">
        <f t="shared" si="20"/>
        <v>Spring washers and other lock washers, of iron or steel</v>
      </c>
      <c r="C1341" s="1069" t="s">
        <v>2445</v>
      </c>
      <c r="D1341" s="822"/>
      <c r="E1341" s="822"/>
      <c r="F1341" s="822"/>
      <c r="G1341" s="822"/>
      <c r="H1341" s="822"/>
    </row>
    <row r="1342" spans="1:8" x14ac:dyDescent="0.2">
      <c r="A1342" s="820">
        <v>1338</v>
      </c>
      <c r="B1342" s="1069" t="str">
        <f t="shared" si="20"/>
        <v>Washers of iron or steel (excl. spring washers and other lock washers)</v>
      </c>
      <c r="C1342" s="1069" t="s">
        <v>2448</v>
      </c>
      <c r="D1342" s="822"/>
      <c r="E1342" s="822"/>
      <c r="F1342" s="822"/>
      <c r="G1342" s="822"/>
      <c r="H1342" s="822"/>
    </row>
    <row r="1343" spans="1:8" x14ac:dyDescent="0.2">
      <c r="A1343" s="820">
        <v>1339</v>
      </c>
      <c r="B1343" s="1069" t="str">
        <f t="shared" si="20"/>
        <v>Rivets of iron or steel (excl. tubular and bifurcated rivets for particular uses)</v>
      </c>
      <c r="C1343" s="1069" t="s">
        <v>2451</v>
      </c>
      <c r="D1343" s="822"/>
      <c r="E1343" s="822"/>
      <c r="F1343" s="822"/>
      <c r="G1343" s="822"/>
      <c r="H1343" s="822"/>
    </row>
    <row r="1344" spans="1:8" x14ac:dyDescent="0.2">
      <c r="A1344" s="820">
        <v>1340</v>
      </c>
      <c r="B1344" s="1069" t="str">
        <f t="shared" si="20"/>
        <v>Cotters and cotter pins, of iron or steel</v>
      </c>
      <c r="C1344" s="1069" t="s">
        <v>2454</v>
      </c>
      <c r="D1344" s="822"/>
      <c r="E1344" s="822"/>
      <c r="F1344" s="822"/>
      <c r="G1344" s="822"/>
      <c r="H1344" s="822"/>
    </row>
    <row r="1345" spans="1:8" x14ac:dyDescent="0.2">
      <c r="A1345" s="820">
        <v>1341</v>
      </c>
      <c r="B1345" s="1069" t="str">
        <f t="shared" si="20"/>
        <v>Non-threaded articles, of iron or steel</v>
      </c>
      <c r="C1345" s="1069" t="s">
        <v>2457</v>
      </c>
      <c r="D1345" s="822"/>
      <c r="E1345" s="822"/>
      <c r="F1345" s="822"/>
      <c r="G1345" s="822"/>
      <c r="H1345" s="822"/>
    </row>
    <row r="1346" spans="1:8" x14ac:dyDescent="0.2">
      <c r="A1346" s="820">
        <v>1342</v>
      </c>
      <c r="B1346" s="1069" t="str">
        <f t="shared" si="20"/>
        <v>Articles of iron or steel, n.e.s. (excl. cast articles)</v>
      </c>
      <c r="C1346" s="1069" t="s">
        <v>2459</v>
      </c>
      <c r="D1346" s="822"/>
      <c r="E1346" s="822"/>
      <c r="F1346" s="822"/>
      <c r="G1346" s="822"/>
      <c r="H1346" s="822"/>
    </row>
    <row r="1347" spans="1:8" x14ac:dyDescent="0.2">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x14ac:dyDescent="0.2">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x14ac:dyDescent="0.2">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x14ac:dyDescent="0.2">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x14ac:dyDescent="0.2">
      <c r="A1351" s="820">
        <v>1347</v>
      </c>
      <c r="B1351" s="1069" t="str">
        <f t="shared" si="21"/>
        <v>Articles of iron or steel wire, n.e.s.</v>
      </c>
      <c r="C1351" s="1069" t="s">
        <v>2473</v>
      </c>
      <c r="D1351" s="822"/>
      <c r="E1351" s="822"/>
      <c r="F1351" s="822"/>
      <c r="G1351" s="822"/>
      <c r="H1351" s="822"/>
    </row>
    <row r="1352" spans="1:8" x14ac:dyDescent="0.2">
      <c r="A1352" s="820">
        <v>1348</v>
      </c>
      <c r="B1352" s="1069" t="str">
        <f t="shared" si="21"/>
        <v>Articles of iron or steel, n.e.s. (excl. cast articles or articles of iron or steel wire)</v>
      </c>
      <c r="C1352" s="1069" t="s">
        <v>2475</v>
      </c>
      <c r="D1352" s="822"/>
      <c r="E1352" s="822"/>
      <c r="F1352" s="822"/>
      <c r="G1352" s="822"/>
      <c r="H1352" s="822"/>
    </row>
    <row r="1353" spans="1:8" x14ac:dyDescent="0.2">
      <c r="A1353" s="820">
        <v>1349</v>
      </c>
      <c r="B1353" s="1069" t="str">
        <f t="shared" si="21"/>
        <v>Ladders and steps, of iron or steel</v>
      </c>
      <c r="C1353" s="1069" t="s">
        <v>2478</v>
      </c>
      <c r="D1353" s="822"/>
      <c r="E1353" s="822"/>
      <c r="F1353" s="822"/>
      <c r="G1353" s="822"/>
      <c r="H1353" s="822"/>
    </row>
    <row r="1354" spans="1:8" x14ac:dyDescent="0.2">
      <c r="A1354" s="820">
        <v>1350</v>
      </c>
      <c r="B1354" s="1069" t="str">
        <f t="shared" si="21"/>
        <v>Pallets and similar platforms for handling goods, of iron or steel</v>
      </c>
      <c r="C1354" s="1069" t="s">
        <v>2481</v>
      </c>
      <c r="D1354" s="822"/>
      <c r="E1354" s="822"/>
      <c r="F1354" s="822"/>
      <c r="G1354" s="822"/>
      <c r="H1354" s="822"/>
    </row>
    <row r="1355" spans="1:8" x14ac:dyDescent="0.2">
      <c r="A1355" s="820">
        <v>1351</v>
      </c>
      <c r="B1355" s="1069" t="str">
        <f t="shared" si="21"/>
        <v>Reels for cables, piping and the like, of iron or steel</v>
      </c>
      <c r="C1355" s="1069" t="s">
        <v>2484</v>
      </c>
      <c r="D1355" s="822"/>
      <c r="E1355" s="822"/>
      <c r="F1355" s="822"/>
      <c r="G1355" s="822"/>
      <c r="H1355" s="822"/>
    </row>
    <row r="1356" spans="1:8" x14ac:dyDescent="0.2">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x14ac:dyDescent="0.2">
      <c r="A1357" s="820">
        <v>1353</v>
      </c>
      <c r="B1357" s="1069" t="str">
        <f t="shared" si="21"/>
        <v>Articles of iron or steel, open-die forged, n.e.s.</v>
      </c>
      <c r="C1357" s="1069" t="s">
        <v>2490</v>
      </c>
      <c r="D1357" s="822"/>
      <c r="E1357" s="822"/>
      <c r="F1357" s="822"/>
      <c r="G1357" s="822"/>
      <c r="H1357" s="822"/>
    </row>
    <row r="1358" spans="1:8" x14ac:dyDescent="0.2">
      <c r="A1358" s="820">
        <v>1354</v>
      </c>
      <c r="B1358" s="1069" t="str">
        <f t="shared" si="21"/>
        <v>Articles of iron or steel, closed-die forged, n.e.s.</v>
      </c>
      <c r="C1358" s="1069" t="s">
        <v>2493</v>
      </c>
      <c r="D1358" s="822"/>
      <c r="E1358" s="822"/>
      <c r="F1358" s="822"/>
      <c r="G1358" s="822"/>
      <c r="H1358" s="822"/>
    </row>
    <row r="1359" spans="1:8" x14ac:dyDescent="0.2">
      <c r="A1359" s="820">
        <v>1355</v>
      </c>
      <c r="B1359" s="1069" t="str">
        <f t="shared" si="21"/>
        <v>Sintered articles of iron or steel, n.e.s.</v>
      </c>
      <c r="C1359" s="1069" t="s">
        <v>2496</v>
      </c>
      <c r="D1359" s="822"/>
      <c r="E1359" s="822"/>
      <c r="F1359" s="822"/>
      <c r="G1359" s="822"/>
      <c r="H1359" s="822"/>
    </row>
    <row r="1360" spans="1:8" x14ac:dyDescent="0.2">
      <c r="A1360" s="820">
        <v>1356</v>
      </c>
      <c r="B1360" s="1069" t="str">
        <f t="shared" si="21"/>
        <v>Articles of iron or steel, n.e.s.</v>
      </c>
      <c r="C1360" s="1069" t="s">
        <v>2499</v>
      </c>
      <c r="D1360" s="822"/>
      <c r="E1360" s="822"/>
      <c r="F1360" s="822"/>
      <c r="G1360" s="822"/>
      <c r="H1360" s="822"/>
    </row>
    <row r="1361" spans="1:8" x14ac:dyDescent="0.2">
      <c r="A1361" s="820">
        <v>1357</v>
      </c>
      <c r="B1361" s="1069" t="str">
        <f t="shared" si="21"/>
        <v>Aluminium, not alloyed, unwrought</v>
      </c>
      <c r="C1361" s="1069" t="s">
        <v>2502</v>
      </c>
      <c r="D1361" s="822"/>
      <c r="E1361" s="822"/>
      <c r="F1361" s="822"/>
      <c r="G1361" s="822"/>
      <c r="H1361" s="822"/>
    </row>
    <row r="1362" spans="1:8" x14ac:dyDescent="0.2">
      <c r="A1362" s="820">
        <v>1358</v>
      </c>
      <c r="B1362" s="1069" t="str">
        <f t="shared" si="21"/>
        <v>Unwrought aluminium alloys</v>
      </c>
      <c r="C1362" s="1069" t="s">
        <v>2504</v>
      </c>
      <c r="D1362" s="822"/>
      <c r="E1362" s="822"/>
      <c r="F1362" s="822"/>
      <c r="G1362" s="822"/>
      <c r="H1362" s="822"/>
    </row>
    <row r="1363" spans="1:8" x14ac:dyDescent="0.2">
      <c r="A1363" s="820">
        <v>1359</v>
      </c>
      <c r="B1363" s="1069" t="str">
        <f t="shared" si="21"/>
        <v>Unwrought aluminium alloys in the form of slabs or billets</v>
      </c>
      <c r="C1363" s="1069" t="s">
        <v>2506</v>
      </c>
      <c r="D1363" s="822"/>
      <c r="E1363" s="822"/>
      <c r="F1363" s="822"/>
      <c r="G1363" s="822"/>
      <c r="H1363" s="822"/>
    </row>
    <row r="1364" spans="1:8" x14ac:dyDescent="0.2">
      <c r="A1364" s="820">
        <v>1360</v>
      </c>
      <c r="B1364" s="1069" t="str">
        <f t="shared" si="21"/>
        <v>Unwrought aluminium alloys (excl. slabs and billets)</v>
      </c>
      <c r="C1364" s="1069" t="s">
        <v>2509</v>
      </c>
      <c r="D1364" s="822"/>
      <c r="E1364" s="822"/>
      <c r="F1364" s="822"/>
      <c r="G1364" s="822"/>
      <c r="H1364" s="822"/>
    </row>
    <row r="1365" spans="1:8" x14ac:dyDescent="0.2">
      <c r="A1365" s="820">
        <v>1361</v>
      </c>
      <c r="B1365" s="1069" t="str">
        <f t="shared" si="21"/>
        <v>Powder and flakes, of aluminium (excl. pellets of aluminium, and spangles)</v>
      </c>
      <c r="C1365" s="1069" t="s">
        <v>2511</v>
      </c>
      <c r="D1365" s="822"/>
      <c r="E1365" s="822"/>
      <c r="F1365" s="822"/>
      <c r="G1365" s="822"/>
      <c r="H1365" s="822"/>
    </row>
    <row r="1366" spans="1:8" x14ac:dyDescent="0.2">
      <c r="A1366" s="820">
        <v>1362</v>
      </c>
      <c r="B1366" s="1069" t="str">
        <f t="shared" si="21"/>
        <v>Powders of aluminium, of non-lamellar structure (excl. pellets of aluminium)</v>
      </c>
      <c r="C1366" s="1069" t="s">
        <v>2514</v>
      </c>
      <c r="D1366" s="822"/>
      <c r="E1366" s="822"/>
      <c r="F1366" s="822"/>
      <c r="G1366" s="822"/>
      <c r="H1366" s="822"/>
    </row>
    <row r="1367" spans="1:8" x14ac:dyDescent="0.2">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x14ac:dyDescent="0.2">
      <c r="A1368" s="820">
        <v>1364</v>
      </c>
      <c r="B1368" s="1069" t="str">
        <f t="shared" si="21"/>
        <v>Bars, rods and profiles, of aluminium, n.e.s.</v>
      </c>
      <c r="C1368" s="1069" t="s">
        <v>2519</v>
      </c>
      <c r="D1368" s="822"/>
      <c r="E1368" s="822"/>
      <c r="F1368" s="822"/>
      <c r="G1368" s="822"/>
      <c r="H1368" s="822"/>
    </row>
    <row r="1369" spans="1:8" x14ac:dyDescent="0.2">
      <c r="A1369" s="820">
        <v>1365</v>
      </c>
      <c r="B1369" s="1069" t="str">
        <f t="shared" si="21"/>
        <v>Bars, rods and profiles, of non-alloy aluminium, n.e.s.</v>
      </c>
      <c r="C1369" s="1069" t="s">
        <v>2521</v>
      </c>
      <c r="D1369" s="822"/>
      <c r="E1369" s="822"/>
      <c r="F1369" s="822"/>
      <c r="G1369" s="822"/>
      <c r="H1369" s="822"/>
    </row>
    <row r="1370" spans="1:8" x14ac:dyDescent="0.2">
      <c r="A1370" s="820">
        <v>1366</v>
      </c>
      <c r="B1370" s="1069" t="str">
        <f t="shared" si="21"/>
        <v>Bars, rods and profiles, of non-alloy aluminium</v>
      </c>
      <c r="C1370" s="1069" t="s">
        <v>2524</v>
      </c>
      <c r="D1370" s="822"/>
      <c r="E1370" s="822"/>
      <c r="F1370" s="822"/>
      <c r="G1370" s="822"/>
      <c r="H1370" s="822"/>
    </row>
    <row r="1371" spans="1:8" x14ac:dyDescent="0.2">
      <c r="A1371" s="820">
        <v>1367</v>
      </c>
      <c r="B1371" s="1069" t="str">
        <f t="shared" si="21"/>
        <v>Profiles of non-alloy aluminium, n.e.s.</v>
      </c>
      <c r="C1371" s="1069" t="s">
        <v>2527</v>
      </c>
      <c r="D1371" s="822"/>
      <c r="E1371" s="822"/>
      <c r="F1371" s="822"/>
      <c r="G1371" s="822"/>
      <c r="H1371" s="822"/>
    </row>
    <row r="1372" spans="1:8" x14ac:dyDescent="0.2">
      <c r="A1372" s="820">
        <v>1368</v>
      </c>
      <c r="B1372" s="1069" t="str">
        <f t="shared" si="21"/>
        <v>Hollow profiles of aluminium alloys, n.e.s.</v>
      </c>
      <c r="C1372" s="1069" t="s">
        <v>2530</v>
      </c>
      <c r="D1372" s="822"/>
      <c r="E1372" s="822"/>
      <c r="F1372" s="822"/>
      <c r="G1372" s="822"/>
      <c r="H1372" s="822"/>
    </row>
    <row r="1373" spans="1:8" x14ac:dyDescent="0.2">
      <c r="A1373" s="820">
        <v>1369</v>
      </c>
      <c r="B1373" s="1069" t="str">
        <f t="shared" si="21"/>
        <v>Bars, rods and solid profiles, of aluminium alloys, n.e.s.</v>
      </c>
      <c r="C1373" s="1069" t="s">
        <v>2532</v>
      </c>
      <c r="D1373" s="822"/>
      <c r="E1373" s="822"/>
      <c r="F1373" s="822"/>
      <c r="G1373" s="822"/>
      <c r="H1373" s="822"/>
    </row>
    <row r="1374" spans="1:8" x14ac:dyDescent="0.2">
      <c r="A1374" s="820">
        <v>1370</v>
      </c>
      <c r="B1374" s="1069" t="str">
        <f t="shared" si="21"/>
        <v>Bars and rods of aluminium alloys</v>
      </c>
      <c r="C1374" s="1069" t="s">
        <v>2535</v>
      </c>
      <c r="D1374" s="822"/>
      <c r="E1374" s="822"/>
      <c r="F1374" s="822"/>
      <c r="G1374" s="822"/>
      <c r="H1374" s="822"/>
    </row>
    <row r="1375" spans="1:8" x14ac:dyDescent="0.2">
      <c r="A1375" s="820">
        <v>1371</v>
      </c>
      <c r="B1375" s="1069" t="str">
        <f t="shared" si="21"/>
        <v>Solid profiles, of aluminium alloys, n.e.s.</v>
      </c>
      <c r="C1375" s="1069" t="s">
        <v>2538</v>
      </c>
      <c r="D1375" s="822"/>
      <c r="E1375" s="822"/>
      <c r="F1375" s="822"/>
      <c r="G1375" s="822"/>
      <c r="H1375" s="822"/>
    </row>
    <row r="1376" spans="1:8" x14ac:dyDescent="0.2">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x14ac:dyDescent="0.2">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x14ac:dyDescent="0.2">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x14ac:dyDescent="0.2">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x14ac:dyDescent="0.2">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x14ac:dyDescent="0.2">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x14ac:dyDescent="0.2">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x14ac:dyDescent="0.2">
      <c r="A1383" s="820">
        <v>1379</v>
      </c>
      <c r="B1383" s="1069" t="str">
        <f t="shared" si="21"/>
        <v>Aluminium Composite Panel, of non-alloy aluminium, of a thickness of &gt; 0,2 mm</v>
      </c>
      <c r="C1383" s="1069" t="s">
        <v>2559</v>
      </c>
      <c r="D1383" s="822"/>
      <c r="E1383" s="822"/>
      <c r="F1383" s="822"/>
      <c r="G1383" s="822"/>
      <c r="H1383" s="822"/>
    </row>
    <row r="1384" spans="1:8" x14ac:dyDescent="0.2">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x14ac:dyDescent="0.2">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x14ac:dyDescent="0.2">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x14ac:dyDescent="0.2">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x14ac:dyDescent="0.2">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x14ac:dyDescent="0.2">
      <c r="A1389" s="820">
        <v>1385</v>
      </c>
      <c r="B1389" s="1069" t="str">
        <f t="shared" si="21"/>
        <v>Beverage can body stock, of aluminium alloys, of a thickness of &gt; 0,2 mm</v>
      </c>
      <c r="C1389" s="1069" t="s">
        <v>2576</v>
      </c>
      <c r="D1389" s="822"/>
      <c r="E1389" s="822"/>
      <c r="F1389" s="822"/>
      <c r="G1389" s="822"/>
      <c r="H1389" s="822"/>
    </row>
    <row r="1390" spans="1:8" x14ac:dyDescent="0.2">
      <c r="A1390" s="820">
        <v>1386</v>
      </c>
      <c r="B1390" s="1069" t="str">
        <f t="shared" si="21"/>
        <v>Beverage can end stock and tab stock, of aluminium alloys, of a thickness of &gt; 0,2 mm</v>
      </c>
      <c r="C1390" s="1069" t="s">
        <v>2579</v>
      </c>
      <c r="D1390" s="822"/>
      <c r="E1390" s="822"/>
      <c r="F1390" s="822"/>
      <c r="G1390" s="822"/>
      <c r="H1390" s="822"/>
    </row>
    <row r="1391" spans="1:8" x14ac:dyDescent="0.2">
      <c r="A1391" s="820">
        <v>1387</v>
      </c>
      <c r="B1391" s="1069" t="str">
        <f t="shared" si="21"/>
        <v>Aluminium Composite Panel, of aluminium alloys, of a thickness of &gt; 0,2 mm</v>
      </c>
      <c r="C1391" s="1069" t="s">
        <v>2582</v>
      </c>
      <c r="D1391" s="822"/>
      <c r="E1391" s="822"/>
      <c r="F1391" s="822"/>
      <c r="G1391" s="822"/>
      <c r="H1391" s="822"/>
    </row>
    <row r="1392" spans="1:8" x14ac:dyDescent="0.2">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x14ac:dyDescent="0.2">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x14ac:dyDescent="0.2">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x14ac:dyDescent="0.2">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x14ac:dyDescent="0.2">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x14ac:dyDescent="0.2">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x14ac:dyDescent="0.2">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x14ac:dyDescent="0.2">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x14ac:dyDescent="0.2">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x14ac:dyDescent="0.2">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x14ac:dyDescent="0.2">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x14ac:dyDescent="0.2">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x14ac:dyDescent="0.2">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x14ac:dyDescent="0.2">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x14ac:dyDescent="0.2">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x14ac:dyDescent="0.2">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x14ac:dyDescent="0.2">
      <c r="A1408" s="820">
        <v>1404</v>
      </c>
      <c r="B1408" s="1069" t="str">
        <f t="shared" si="21"/>
        <v>Aluminium Composite Panel, of a thickness &lt;= 0,2 mm</v>
      </c>
      <c r="C1408" s="1069" t="s">
        <v>2629</v>
      </c>
      <c r="D1408" s="822"/>
      <c r="E1408" s="822"/>
      <c r="F1408" s="822"/>
      <c r="G1408" s="822"/>
      <c r="H1408" s="822"/>
    </row>
    <row r="1409" spans="1:8" x14ac:dyDescent="0.2">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x14ac:dyDescent="0.2">
      <c r="A1410" s="820">
        <v>1406</v>
      </c>
      <c r="B1410" s="1069" t="str">
        <f t="shared" si="21"/>
        <v>Aluminium tubes and pipes (excl. hollow profiles)</v>
      </c>
      <c r="C1410" s="1069" t="s">
        <v>2634</v>
      </c>
      <c r="D1410" s="822"/>
      <c r="E1410" s="822"/>
      <c r="F1410" s="822"/>
      <c r="G1410" s="822"/>
      <c r="H1410" s="822"/>
    </row>
    <row r="1411" spans="1:8" x14ac:dyDescent="0.2">
      <c r="A1411" s="820">
        <v>1407</v>
      </c>
      <c r="B1411" s="1069" t="str">
        <f t="shared" si="21"/>
        <v>Tubes and pipes of non-alloy aluminium (excl. hollow profiles)</v>
      </c>
      <c r="C1411" s="1069" t="s">
        <v>2637</v>
      </c>
      <c r="D1411" s="822"/>
      <c r="E1411" s="822"/>
      <c r="F1411" s="822"/>
      <c r="G1411" s="822"/>
      <c r="H1411" s="822"/>
    </row>
    <row r="1412" spans="1:8" x14ac:dyDescent="0.2">
      <c r="A1412" s="820">
        <v>1408</v>
      </c>
      <c r="B1412" s="1069" t="str">
        <f t="shared" si="21"/>
        <v>Tubes and pipes of aluminium alloys (excl. hollow profiles)</v>
      </c>
      <c r="C1412" s="1069" t="s">
        <v>2639</v>
      </c>
      <c r="D1412" s="822"/>
      <c r="E1412" s="822"/>
      <c r="F1412" s="822"/>
      <c r="G1412" s="822"/>
      <c r="H1412" s="822"/>
    </row>
    <row r="1413" spans="1:8" x14ac:dyDescent="0.2">
      <c r="A1413" s="820">
        <v>1409</v>
      </c>
      <c r="B1413" s="1069" t="str">
        <f t="shared" si="21"/>
        <v>Tubes and pipes of aluminium alloys, welded (excl. hollow profiles)</v>
      </c>
      <c r="C1413" s="1069" t="s">
        <v>2642</v>
      </c>
      <c r="D1413" s="822"/>
      <c r="E1413" s="822"/>
      <c r="F1413" s="822"/>
      <c r="G1413" s="822"/>
      <c r="H1413" s="822"/>
    </row>
    <row r="1414" spans="1:8" x14ac:dyDescent="0.2">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x14ac:dyDescent="0.2">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x14ac:dyDescent="0.2">
      <c r="A1416" s="820">
        <v>1412</v>
      </c>
      <c r="B1416" s="1069" t="str">
        <f t="shared" si="22"/>
        <v>Aluminium tube or pipe fittings "e.g., couplings, elbows, sleeves"</v>
      </c>
      <c r="C1416" s="1069" t="s">
        <v>2651</v>
      </c>
      <c r="D1416" s="822"/>
      <c r="E1416" s="822"/>
      <c r="F1416" s="822"/>
      <c r="G1416" s="822"/>
      <c r="H1416" s="822"/>
    </row>
    <row r="1417" spans="1:8" x14ac:dyDescent="0.2">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x14ac:dyDescent="0.2">
      <c r="A1418" s="820">
        <v>1414</v>
      </c>
      <c r="B1418" s="1069" t="str">
        <f t="shared" si="22"/>
        <v>Doors, windows and their frames and thresholds for door, of aluminium (excl. door furniture)</v>
      </c>
      <c r="C1418" s="1069" t="s">
        <v>2656</v>
      </c>
      <c r="D1418" s="822"/>
      <c r="E1418" s="822"/>
      <c r="F1418" s="822"/>
      <c r="G1418" s="822"/>
      <c r="H1418" s="822"/>
    </row>
    <row r="1419" spans="1:8" x14ac:dyDescent="0.2">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x14ac:dyDescent="0.2">
      <c r="A1420" s="820">
        <v>1416</v>
      </c>
      <c r="B1420" s="1069" t="str">
        <f t="shared" si="22"/>
        <v>Bridges and bridge-sections, towers and lattice masts, of aluminium</v>
      </c>
      <c r="C1420" s="1069" t="s">
        <v>2661</v>
      </c>
      <c r="D1420" s="822"/>
      <c r="E1420" s="822"/>
      <c r="F1420" s="822"/>
      <c r="G1420" s="822"/>
      <c r="H1420" s="822"/>
    </row>
    <row r="1421" spans="1:8" x14ac:dyDescent="0.2">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x14ac:dyDescent="0.2">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x14ac:dyDescent="0.2">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x14ac:dyDescent="0.2">
      <c r="A1424" s="820">
        <v>1420</v>
      </c>
      <c r="B1424" s="1069" t="str">
        <f t="shared" si="22"/>
        <v>Collapsible tubular containers, of aluminium</v>
      </c>
      <c r="C1424" s="1069" t="s">
        <v>2672</v>
      </c>
      <c r="D1424" s="822"/>
      <c r="E1424" s="822"/>
      <c r="F1424" s="822"/>
      <c r="G1424" s="822"/>
      <c r="H1424" s="822"/>
    </row>
    <row r="1425" spans="1:8" x14ac:dyDescent="0.2">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x14ac:dyDescent="0.2">
      <c r="A1426" s="820">
        <v>1422</v>
      </c>
      <c r="B1426" s="1069" t="str">
        <f t="shared" si="22"/>
        <v>Containers of a kind used for aerosols, of aluminium</v>
      </c>
      <c r="C1426" s="1069" t="s">
        <v>2677</v>
      </c>
      <c r="D1426" s="822"/>
      <c r="E1426" s="822"/>
      <c r="F1426" s="822"/>
      <c r="G1426" s="822"/>
      <c r="H1426" s="822"/>
    </row>
    <row r="1427" spans="1:8" x14ac:dyDescent="0.2">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x14ac:dyDescent="0.2">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x14ac:dyDescent="0.2">
      <c r="A1429" s="820">
        <v>1425</v>
      </c>
      <c r="B1429" s="1069" t="str">
        <f t="shared" si="22"/>
        <v>Aluminium containers for compressed or liquefied gas</v>
      </c>
      <c r="C1429" s="1069" t="s">
        <v>2686</v>
      </c>
      <c r="D1429" s="822"/>
      <c r="E1429" s="822"/>
      <c r="F1429" s="822"/>
      <c r="G1429" s="822"/>
      <c r="H1429" s="822"/>
    </row>
    <row r="1430" spans="1:8" x14ac:dyDescent="0.2">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x14ac:dyDescent="0.2">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x14ac:dyDescent="0.2">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x14ac:dyDescent="0.2">
      <c r="A1433" s="820">
        <v>1429</v>
      </c>
      <c r="B1433" s="1069" t="str">
        <f t="shared" si="22"/>
        <v>Articles of aluminium, n.e.s.</v>
      </c>
      <c r="C1433" s="1069" t="s">
        <v>2696</v>
      </c>
      <c r="D1433" s="822"/>
      <c r="E1433" s="822"/>
      <c r="F1433" s="822"/>
      <c r="G1433" s="822"/>
      <c r="H1433" s="822"/>
    </row>
    <row r="1434" spans="1:8" x14ac:dyDescent="0.2">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x14ac:dyDescent="0.2">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x14ac:dyDescent="0.2">
      <c r="A1436" s="820">
        <v>1432</v>
      </c>
      <c r="B1436" s="1069" t="str">
        <f t="shared" si="22"/>
        <v>Articles of aluminium, cast, n.e.s.</v>
      </c>
      <c r="C1436" s="1069" t="s">
        <v>2706</v>
      </c>
      <c r="D1436" s="822"/>
      <c r="E1436" s="822"/>
      <c r="F1436" s="822"/>
      <c r="G1436" s="822"/>
      <c r="H1436" s="822"/>
    </row>
    <row r="1437" spans="1:8" x14ac:dyDescent="0.2">
      <c r="A1437" s="820">
        <v>1433</v>
      </c>
      <c r="B1437" s="1069" t="str">
        <f t="shared" si="22"/>
        <v>Articles of aluminium, uncast, n.e.s.</v>
      </c>
      <c r="C1437" s="1069" t="s">
        <v>2709</v>
      </c>
      <c r="D1437" s="822"/>
      <c r="E1437" s="822"/>
      <c r="F1437" s="822"/>
      <c r="G1437" s="822"/>
      <c r="H1437" s="822"/>
    </row>
    <row r="1438" spans="1:8" x14ac:dyDescent="0.2">
      <c r="A1438" s="820">
        <v>1434</v>
      </c>
      <c r="B1438" s="1085" t="str">
        <f t="shared" si="22"/>
        <v>Code Lists</v>
      </c>
      <c r="C1438" s="1070" t="s">
        <v>3883</v>
      </c>
      <c r="D1438" s="822"/>
      <c r="E1438" s="822"/>
      <c r="F1438" s="822"/>
      <c r="G1438" s="822"/>
      <c r="H1438" s="822"/>
    </row>
    <row r="1439" spans="1:8" x14ac:dyDescent="0.2">
      <c r="A1439" s="820">
        <v>1435</v>
      </c>
      <c r="B1439" s="1085" t="str">
        <f t="shared" si="22"/>
        <v>Sheet "Code Lists"</v>
      </c>
      <c r="C1439" s="1070" t="s">
        <v>3882</v>
      </c>
      <c r="D1439" s="822"/>
      <c r="E1439" s="822"/>
      <c r="F1439" s="822"/>
      <c r="G1439" s="822"/>
      <c r="H1439" s="822"/>
    </row>
    <row r="1440" spans="1:8" x14ac:dyDescent="0.2">
      <c r="A1440" s="820">
        <v>1436</v>
      </c>
      <c r="B1440" s="1085" t="str">
        <f t="shared" si="22"/>
        <v>Countries &amp; Currencies</v>
      </c>
      <c r="C1440" s="1070" t="s">
        <v>3873</v>
      </c>
      <c r="D1440" s="822"/>
      <c r="E1440" s="822"/>
      <c r="F1440" s="822"/>
      <c r="G1440" s="822"/>
      <c r="H1440" s="822"/>
    </row>
    <row r="1441" spans="1:8" x14ac:dyDescent="0.2">
      <c r="A1441" s="820">
        <v>1437</v>
      </c>
      <c r="B1441" s="1085" t="str">
        <f t="shared" si="22"/>
        <v>Code</v>
      </c>
      <c r="C1441" s="1070" t="s">
        <v>3866</v>
      </c>
      <c r="D1441" s="822"/>
      <c r="E1441" s="822"/>
      <c r="F1441" s="822"/>
      <c r="G1441" s="822"/>
      <c r="H1441" s="822"/>
    </row>
    <row r="1442" spans="1:8" x14ac:dyDescent="0.2">
      <c r="A1442" s="820">
        <v>1438</v>
      </c>
      <c r="B1442" s="1085" t="str">
        <f t="shared" si="22"/>
        <v>Country Name</v>
      </c>
      <c r="C1442" s="1070" t="s">
        <v>3867</v>
      </c>
      <c r="D1442" s="822"/>
      <c r="E1442" s="822"/>
      <c r="F1442" s="822"/>
      <c r="G1442" s="822"/>
      <c r="H1442" s="822"/>
    </row>
    <row r="1443" spans="1:8" x14ac:dyDescent="0.2">
      <c r="A1443" s="820">
        <v>1439</v>
      </c>
      <c r="B1443" s="1085" t="str">
        <f t="shared" si="22"/>
        <v>Currency Name</v>
      </c>
      <c r="C1443" s="1070" t="s">
        <v>3868</v>
      </c>
      <c r="D1443" s="822"/>
      <c r="E1443" s="822"/>
      <c r="F1443" s="822"/>
      <c r="G1443" s="822"/>
      <c r="H1443" s="822"/>
    </row>
    <row r="1444" spans="1:8" x14ac:dyDescent="0.2">
      <c r="A1444" s="820">
        <v>1440</v>
      </c>
      <c r="B1444" s="1085" t="str">
        <f t="shared" si="22"/>
        <v>Andorra</v>
      </c>
      <c r="C1444" s="1070" t="s">
        <v>3066</v>
      </c>
      <c r="D1444" s="822"/>
      <c r="E1444" s="822"/>
      <c r="F1444" s="822"/>
      <c r="G1444" s="822"/>
      <c r="H1444" s="822"/>
    </row>
    <row r="1445" spans="1:8" x14ac:dyDescent="0.2">
      <c r="A1445" s="820">
        <v>1441</v>
      </c>
      <c r="B1445" s="1085" t="str">
        <f t="shared" si="22"/>
        <v>UAE Dirham</v>
      </c>
      <c r="C1445" s="1070" t="s">
        <v>3536</v>
      </c>
      <c r="D1445" s="822"/>
      <c r="E1445" s="822"/>
      <c r="F1445" s="822"/>
      <c r="G1445" s="822"/>
      <c r="H1445" s="822"/>
    </row>
    <row r="1446" spans="1:8" x14ac:dyDescent="0.2">
      <c r="A1446" s="820">
        <v>1442</v>
      </c>
      <c r="B1446" s="1085" t="str">
        <f t="shared" si="22"/>
        <v>United Arab Emirates</v>
      </c>
      <c r="C1446" s="1070" t="s">
        <v>3067</v>
      </c>
      <c r="D1446" s="822"/>
      <c r="E1446" s="822"/>
      <c r="F1446" s="822"/>
      <c r="G1446" s="822"/>
      <c r="H1446" s="822"/>
    </row>
    <row r="1447" spans="1:8" x14ac:dyDescent="0.2">
      <c r="A1447" s="820">
        <v>1443</v>
      </c>
      <c r="B1447" s="1085" t="str">
        <f t="shared" si="22"/>
        <v>Afghani</v>
      </c>
      <c r="C1447" s="1070" t="s">
        <v>3538</v>
      </c>
      <c r="D1447" s="822"/>
      <c r="E1447" s="822"/>
      <c r="F1447" s="822"/>
      <c r="G1447" s="822"/>
      <c r="H1447" s="822"/>
    </row>
    <row r="1448" spans="1:8" x14ac:dyDescent="0.2">
      <c r="A1448" s="820">
        <v>1444</v>
      </c>
      <c r="B1448" s="1085" t="str">
        <f t="shared" si="22"/>
        <v>Afghanistan</v>
      </c>
      <c r="C1448" s="1070" t="s">
        <v>3068</v>
      </c>
      <c r="D1448" s="822"/>
      <c r="E1448" s="822"/>
      <c r="F1448" s="822"/>
      <c r="G1448" s="822"/>
      <c r="H1448" s="822"/>
    </row>
    <row r="1449" spans="1:8" x14ac:dyDescent="0.2">
      <c r="A1449" s="820">
        <v>1445</v>
      </c>
      <c r="B1449" s="1085" t="str">
        <f t="shared" si="22"/>
        <v>Lek</v>
      </c>
      <c r="C1449" s="1070" t="s">
        <v>3540</v>
      </c>
      <c r="D1449" s="822"/>
      <c r="E1449" s="822"/>
      <c r="F1449" s="822"/>
      <c r="G1449" s="822"/>
      <c r="H1449" s="822"/>
    </row>
    <row r="1450" spans="1:8" x14ac:dyDescent="0.2">
      <c r="A1450" s="820">
        <v>1446</v>
      </c>
      <c r="B1450" s="1085" t="str">
        <f t="shared" si="22"/>
        <v>Antigua and Barbuda</v>
      </c>
      <c r="C1450" s="1070" t="s">
        <v>3069</v>
      </c>
      <c r="D1450" s="822"/>
      <c r="E1450" s="822"/>
      <c r="F1450" s="822"/>
      <c r="G1450" s="822"/>
      <c r="H1450" s="822"/>
    </row>
    <row r="1451" spans="1:8" x14ac:dyDescent="0.2">
      <c r="A1451" s="820">
        <v>1447</v>
      </c>
      <c r="B1451" s="1085" t="str">
        <f t="shared" si="22"/>
        <v>Armenian Dram</v>
      </c>
      <c r="C1451" s="1070" t="s">
        <v>3542</v>
      </c>
      <c r="D1451" s="822"/>
      <c r="E1451" s="822"/>
      <c r="F1451" s="822"/>
      <c r="G1451" s="822"/>
      <c r="H1451" s="822"/>
    </row>
    <row r="1452" spans="1:8" x14ac:dyDescent="0.2">
      <c r="A1452" s="820">
        <v>1448</v>
      </c>
      <c r="B1452" s="1085" t="str">
        <f t="shared" si="22"/>
        <v>Anguilla</v>
      </c>
      <c r="C1452" s="1070" t="s">
        <v>3070</v>
      </c>
      <c r="D1452" s="822"/>
      <c r="E1452" s="822"/>
      <c r="F1452" s="822"/>
      <c r="G1452" s="822"/>
      <c r="H1452" s="822"/>
    </row>
    <row r="1453" spans="1:8" x14ac:dyDescent="0.2">
      <c r="A1453" s="820">
        <v>1449</v>
      </c>
      <c r="B1453" s="1085" t="str">
        <f t="shared" si="22"/>
        <v>Netherlands Antillean Guilder</v>
      </c>
      <c r="C1453" s="1070" t="s">
        <v>3544</v>
      </c>
      <c r="D1453" s="822"/>
      <c r="E1453" s="822"/>
      <c r="F1453" s="822"/>
      <c r="G1453" s="822"/>
      <c r="H1453" s="822"/>
    </row>
    <row r="1454" spans="1:8" x14ac:dyDescent="0.2">
      <c r="A1454" s="820">
        <v>1450</v>
      </c>
      <c r="B1454" s="1085" t="str">
        <f t="shared" si="22"/>
        <v>Albania</v>
      </c>
      <c r="C1454" s="1070" t="s">
        <v>3071</v>
      </c>
      <c r="D1454" s="822"/>
      <c r="E1454" s="822"/>
      <c r="F1454" s="822"/>
      <c r="G1454" s="822"/>
      <c r="H1454" s="822"/>
    </row>
    <row r="1455" spans="1:8" x14ac:dyDescent="0.2">
      <c r="A1455" s="820">
        <v>1451</v>
      </c>
      <c r="B1455" s="1085" t="str">
        <f t="shared" si="22"/>
        <v>Kwanza</v>
      </c>
      <c r="C1455" s="1070" t="s">
        <v>3546</v>
      </c>
      <c r="D1455" s="822"/>
      <c r="E1455" s="822"/>
      <c r="F1455" s="822"/>
      <c r="G1455" s="822"/>
      <c r="H1455" s="822"/>
    </row>
    <row r="1456" spans="1:8" x14ac:dyDescent="0.2">
      <c r="A1456" s="820">
        <v>1452</v>
      </c>
      <c r="B1456" s="1085" t="str">
        <f t="shared" si="22"/>
        <v>Armenia</v>
      </c>
      <c r="C1456" s="1070" t="s">
        <v>3072</v>
      </c>
      <c r="D1456" s="822"/>
      <c r="E1456" s="822"/>
      <c r="F1456" s="822"/>
      <c r="G1456" s="822"/>
      <c r="H1456" s="822"/>
    </row>
    <row r="1457" spans="1:8" x14ac:dyDescent="0.2">
      <c r="A1457" s="820">
        <v>1453</v>
      </c>
      <c r="B1457" s="1085" t="str">
        <f t="shared" si="22"/>
        <v>Argentine Peso</v>
      </c>
      <c r="C1457" s="1070" t="s">
        <v>3548</v>
      </c>
      <c r="D1457" s="822"/>
      <c r="E1457" s="822"/>
      <c r="F1457" s="822"/>
      <c r="G1457" s="822"/>
      <c r="H1457" s="822"/>
    </row>
    <row r="1458" spans="1:8" x14ac:dyDescent="0.2">
      <c r="A1458" s="820">
        <v>1454</v>
      </c>
      <c r="B1458" s="1085" t="str">
        <f t="shared" si="22"/>
        <v>Netherlands Antilles</v>
      </c>
      <c r="C1458" s="1070" t="s">
        <v>3073</v>
      </c>
      <c r="D1458" s="822"/>
      <c r="E1458" s="822"/>
      <c r="F1458" s="822"/>
      <c r="G1458" s="822"/>
      <c r="H1458" s="822"/>
    </row>
    <row r="1459" spans="1:8" x14ac:dyDescent="0.2">
      <c r="A1459" s="820">
        <v>1455</v>
      </c>
      <c r="B1459" s="1085" t="str">
        <f t="shared" si="22"/>
        <v>Australian Dollar</v>
      </c>
      <c r="C1459" s="1070" t="s">
        <v>3550</v>
      </c>
      <c r="D1459" s="822"/>
      <c r="E1459" s="822"/>
      <c r="F1459" s="822"/>
      <c r="G1459" s="822"/>
      <c r="H1459" s="822"/>
    </row>
    <row r="1460" spans="1:8" x14ac:dyDescent="0.2">
      <c r="A1460" s="820">
        <v>1456</v>
      </c>
      <c r="B1460" s="1085" t="str">
        <f t="shared" si="22"/>
        <v>Angola</v>
      </c>
      <c r="C1460" s="1070" t="s">
        <v>3074</v>
      </c>
      <c r="D1460" s="822"/>
      <c r="E1460" s="822"/>
      <c r="F1460" s="822"/>
      <c r="G1460" s="822"/>
      <c r="H1460" s="822"/>
    </row>
    <row r="1461" spans="1:8" x14ac:dyDescent="0.2">
      <c r="A1461" s="820">
        <v>1457</v>
      </c>
      <c r="B1461" s="1085" t="str">
        <f t="shared" si="22"/>
        <v>Aruban Florin</v>
      </c>
      <c r="C1461" s="1070" t="s">
        <v>3552</v>
      </c>
      <c r="D1461" s="822"/>
      <c r="E1461" s="822"/>
      <c r="F1461" s="822"/>
      <c r="G1461" s="822"/>
      <c r="H1461" s="822"/>
    </row>
    <row r="1462" spans="1:8" x14ac:dyDescent="0.2">
      <c r="A1462" s="820">
        <v>1458</v>
      </c>
      <c r="B1462" s="1085" t="str">
        <f t="shared" si="22"/>
        <v>Antarctica</v>
      </c>
      <c r="C1462" s="1070" t="s">
        <v>3075</v>
      </c>
      <c r="D1462" s="822"/>
      <c r="E1462" s="822"/>
      <c r="F1462" s="822"/>
      <c r="G1462" s="822"/>
      <c r="H1462" s="822"/>
    </row>
    <row r="1463" spans="1:8" x14ac:dyDescent="0.2">
      <c r="A1463" s="820">
        <v>1459</v>
      </c>
      <c r="B1463" s="1085" t="str">
        <f t="shared" si="22"/>
        <v>Azerbaijan Manat</v>
      </c>
      <c r="C1463" s="1070" t="s">
        <v>3554</v>
      </c>
      <c r="D1463" s="822"/>
      <c r="E1463" s="822"/>
      <c r="F1463" s="822"/>
      <c r="G1463" s="822"/>
      <c r="H1463" s="822"/>
    </row>
    <row r="1464" spans="1:8" x14ac:dyDescent="0.2">
      <c r="A1464" s="820">
        <v>1460</v>
      </c>
      <c r="B1464" s="1085" t="str">
        <f t="shared" si="22"/>
        <v>Argentina</v>
      </c>
      <c r="C1464" s="1070" t="s">
        <v>3076</v>
      </c>
      <c r="D1464" s="822"/>
      <c r="E1464" s="822"/>
      <c r="F1464" s="822"/>
      <c r="G1464" s="822"/>
      <c r="H1464" s="822"/>
    </row>
    <row r="1465" spans="1:8" x14ac:dyDescent="0.2">
      <c r="A1465" s="820">
        <v>1461</v>
      </c>
      <c r="B1465" s="1085" t="str">
        <f t="shared" si="22"/>
        <v>Convertible Mark</v>
      </c>
      <c r="C1465" s="1070" t="s">
        <v>3556</v>
      </c>
      <c r="D1465" s="822"/>
      <c r="E1465" s="822"/>
      <c r="F1465" s="822"/>
      <c r="G1465" s="822"/>
      <c r="H1465" s="822"/>
    </row>
    <row r="1466" spans="1:8" x14ac:dyDescent="0.2">
      <c r="A1466" s="820">
        <v>1462</v>
      </c>
      <c r="B1466" s="1085" t="str">
        <f t="shared" si="22"/>
        <v>American Samoa</v>
      </c>
      <c r="C1466" s="1070" t="s">
        <v>3077</v>
      </c>
      <c r="D1466" s="822"/>
      <c r="E1466" s="822"/>
      <c r="F1466" s="822"/>
      <c r="G1466" s="822"/>
      <c r="H1466" s="822"/>
    </row>
    <row r="1467" spans="1:8" x14ac:dyDescent="0.2">
      <c r="A1467" s="820">
        <v>1463</v>
      </c>
      <c r="B1467" s="1085" t="str">
        <f t="shared" si="22"/>
        <v>Barbados Dollar</v>
      </c>
      <c r="C1467" s="1070" t="s">
        <v>3558</v>
      </c>
      <c r="D1467" s="822"/>
      <c r="E1467" s="822"/>
      <c r="F1467" s="822"/>
      <c r="G1467" s="822"/>
      <c r="H1467" s="822"/>
    </row>
    <row r="1468" spans="1:8" x14ac:dyDescent="0.2">
      <c r="A1468" s="820">
        <v>1464</v>
      </c>
      <c r="B1468" s="1085" t="str">
        <f t="shared" si="22"/>
        <v>Taka</v>
      </c>
      <c r="C1468" s="1070" t="s">
        <v>3560</v>
      </c>
      <c r="D1468" s="822"/>
      <c r="E1468" s="822"/>
      <c r="F1468" s="822"/>
      <c r="G1468" s="822"/>
      <c r="H1468" s="822"/>
    </row>
    <row r="1469" spans="1:8" x14ac:dyDescent="0.2">
      <c r="A1469" s="820">
        <v>1465</v>
      </c>
      <c r="B1469" s="1085" t="str">
        <f t="shared" si="22"/>
        <v>Australia</v>
      </c>
      <c r="C1469" s="1070" t="s">
        <v>3078</v>
      </c>
      <c r="D1469" s="822"/>
      <c r="E1469" s="822"/>
      <c r="F1469" s="822"/>
      <c r="G1469" s="822"/>
      <c r="H1469" s="822"/>
    </row>
    <row r="1470" spans="1:8" x14ac:dyDescent="0.2">
      <c r="A1470" s="820">
        <v>1466</v>
      </c>
      <c r="B1470" s="1085" t="str">
        <f t="shared" si="22"/>
        <v>Bulgarian Lev</v>
      </c>
      <c r="C1470" s="1070" t="s">
        <v>3562</v>
      </c>
      <c r="D1470" s="822"/>
      <c r="E1470" s="822"/>
      <c r="F1470" s="822"/>
      <c r="G1470" s="822"/>
      <c r="H1470" s="822"/>
    </row>
    <row r="1471" spans="1:8" x14ac:dyDescent="0.2">
      <c r="A1471" s="820">
        <v>1467</v>
      </c>
      <c r="B1471" s="1085" t="str">
        <f t="shared" si="22"/>
        <v>Aruba</v>
      </c>
      <c r="C1471" s="1070" t="s">
        <v>3079</v>
      </c>
      <c r="D1471" s="822"/>
      <c r="E1471" s="822"/>
      <c r="F1471" s="822"/>
      <c r="G1471" s="822"/>
      <c r="H1471" s="822"/>
    </row>
    <row r="1472" spans="1:8" x14ac:dyDescent="0.2">
      <c r="A1472" s="820">
        <v>1468</v>
      </c>
      <c r="B1472" s="1085" t="str">
        <f t="shared" si="22"/>
        <v>Bahraini Dinar</v>
      </c>
      <c r="C1472" s="1070" t="s">
        <v>3564</v>
      </c>
      <c r="D1472" s="822"/>
      <c r="E1472" s="822"/>
      <c r="F1472" s="822"/>
      <c r="G1472" s="822"/>
      <c r="H1472" s="822"/>
    </row>
    <row r="1473" spans="1:8" x14ac:dyDescent="0.2">
      <c r="A1473" s="820">
        <v>1469</v>
      </c>
      <c r="B1473" s="1085" t="str">
        <f t="shared" si="22"/>
        <v>ÅLAND ISLANDS</v>
      </c>
      <c r="C1473" s="1070" t="s">
        <v>3080</v>
      </c>
      <c r="D1473" s="822"/>
      <c r="E1473" s="822"/>
      <c r="F1473" s="822"/>
      <c r="G1473" s="822"/>
      <c r="H1473" s="822"/>
    </row>
    <row r="1474" spans="1:8" x14ac:dyDescent="0.2">
      <c r="A1474" s="820">
        <v>1470</v>
      </c>
      <c r="B1474" s="1085" t="str">
        <f t="shared" si="22"/>
        <v>Burundi Franc</v>
      </c>
      <c r="C1474" s="1070" t="s">
        <v>3566</v>
      </c>
      <c r="D1474" s="822"/>
      <c r="E1474" s="822"/>
      <c r="F1474" s="822"/>
      <c r="G1474" s="822"/>
      <c r="H1474" s="822"/>
    </row>
    <row r="1475" spans="1:8" x14ac:dyDescent="0.2">
      <c r="A1475" s="820">
        <v>1471</v>
      </c>
      <c r="B1475" s="1085" t="str">
        <f t="shared" si="22"/>
        <v>Azerbaijan</v>
      </c>
      <c r="C1475" s="1070" t="s">
        <v>3081</v>
      </c>
      <c r="D1475" s="822"/>
      <c r="E1475" s="822"/>
      <c r="F1475" s="822"/>
      <c r="G1475" s="822"/>
      <c r="H1475" s="822"/>
    </row>
    <row r="1476" spans="1:8" x14ac:dyDescent="0.2">
      <c r="A1476" s="820">
        <v>1472</v>
      </c>
      <c r="B1476" s="1085" t="str">
        <f t="shared" si="22"/>
        <v>Bermudian Dollar</v>
      </c>
      <c r="C1476" s="1070" t="s">
        <v>3568</v>
      </c>
      <c r="D1476" s="822"/>
      <c r="E1476" s="822"/>
      <c r="F1476" s="822"/>
      <c r="G1476" s="822"/>
      <c r="H1476" s="822"/>
    </row>
    <row r="1477" spans="1:8" x14ac:dyDescent="0.2">
      <c r="A1477" s="820">
        <v>1473</v>
      </c>
      <c r="B1477" s="1085" t="str">
        <f t="shared" si="22"/>
        <v>Bosnia and Herzegovina</v>
      </c>
      <c r="C1477" s="1070" t="s">
        <v>3082</v>
      </c>
      <c r="D1477" s="822"/>
      <c r="E1477" s="822"/>
      <c r="F1477" s="822"/>
      <c r="G1477" s="822"/>
      <c r="H1477" s="822"/>
    </row>
    <row r="1478" spans="1:8" x14ac:dyDescent="0.2">
      <c r="A1478" s="820">
        <v>1474</v>
      </c>
      <c r="B1478" s="1085" t="str">
        <f t="shared" ref="B1478:B1541" si="23">IFERROR(INDEX(C1478:M1478,$A$3-2),$C1478)</f>
        <v>Brunei Dollar</v>
      </c>
      <c r="C1478" s="1070" t="s">
        <v>3570</v>
      </c>
      <c r="D1478" s="822"/>
      <c r="E1478" s="822"/>
      <c r="F1478" s="822"/>
      <c r="G1478" s="822"/>
      <c r="H1478" s="822"/>
    </row>
    <row r="1479" spans="1:8" x14ac:dyDescent="0.2">
      <c r="A1479" s="820">
        <v>1475</v>
      </c>
      <c r="B1479" s="1085" t="str">
        <f t="shared" si="23"/>
        <v>Barbados</v>
      </c>
      <c r="C1479" s="1070" t="s">
        <v>3083</v>
      </c>
      <c r="D1479" s="822"/>
      <c r="E1479" s="822"/>
      <c r="F1479" s="822"/>
      <c r="G1479" s="822"/>
      <c r="H1479" s="822"/>
    </row>
    <row r="1480" spans="1:8" x14ac:dyDescent="0.2">
      <c r="A1480" s="820">
        <v>1476</v>
      </c>
      <c r="B1480" s="1085" t="str">
        <f t="shared" si="23"/>
        <v>Boliviano</v>
      </c>
      <c r="C1480" s="1070" t="s">
        <v>3572</v>
      </c>
      <c r="D1480" s="822"/>
      <c r="E1480" s="822"/>
      <c r="F1480" s="822"/>
      <c r="G1480" s="822"/>
      <c r="H1480" s="822"/>
    </row>
    <row r="1481" spans="1:8" x14ac:dyDescent="0.2">
      <c r="A1481" s="820">
        <v>1477</v>
      </c>
      <c r="B1481" s="1085" t="str">
        <f t="shared" si="23"/>
        <v>Bangladesh</v>
      </c>
      <c r="C1481" s="1070" t="s">
        <v>3084</v>
      </c>
      <c r="D1481" s="822"/>
      <c r="E1481" s="822"/>
      <c r="F1481" s="822"/>
      <c r="G1481" s="822"/>
      <c r="H1481" s="822"/>
    </row>
    <row r="1482" spans="1:8" x14ac:dyDescent="0.2">
      <c r="A1482" s="820">
        <v>1478</v>
      </c>
      <c r="B1482" s="1085" t="str">
        <f t="shared" si="23"/>
        <v>Mvdol</v>
      </c>
      <c r="C1482" s="1070" t="s">
        <v>3574</v>
      </c>
      <c r="D1482" s="822"/>
      <c r="E1482" s="822"/>
      <c r="F1482" s="822"/>
      <c r="G1482" s="822"/>
      <c r="H1482" s="822"/>
    </row>
    <row r="1483" spans="1:8" x14ac:dyDescent="0.2">
      <c r="A1483" s="820">
        <v>1479</v>
      </c>
      <c r="B1483" s="1085" t="str">
        <f t="shared" si="23"/>
        <v>Brazilian Real</v>
      </c>
      <c r="C1483" s="1070" t="s">
        <v>3576</v>
      </c>
      <c r="D1483" s="822"/>
      <c r="E1483" s="822"/>
      <c r="F1483" s="822"/>
      <c r="G1483" s="822"/>
      <c r="H1483" s="822"/>
    </row>
    <row r="1484" spans="1:8" x14ac:dyDescent="0.2">
      <c r="A1484" s="820">
        <v>1480</v>
      </c>
      <c r="B1484" s="1085" t="str">
        <f t="shared" si="23"/>
        <v>Burkina Faso</v>
      </c>
      <c r="C1484" s="1070" t="s">
        <v>3085</v>
      </c>
      <c r="D1484" s="822"/>
      <c r="E1484" s="822"/>
      <c r="F1484" s="822"/>
      <c r="G1484" s="822"/>
      <c r="H1484" s="822"/>
    </row>
    <row r="1485" spans="1:8" x14ac:dyDescent="0.2">
      <c r="A1485" s="820">
        <v>1481</v>
      </c>
      <c r="B1485" s="1085" t="str">
        <f t="shared" si="23"/>
        <v>Bahamian Dollar</v>
      </c>
      <c r="C1485" s="1070" t="s">
        <v>3578</v>
      </c>
      <c r="D1485" s="822"/>
      <c r="E1485" s="822"/>
      <c r="F1485" s="822"/>
      <c r="G1485" s="822"/>
      <c r="H1485" s="822"/>
    </row>
    <row r="1486" spans="1:8" x14ac:dyDescent="0.2">
      <c r="A1486" s="820">
        <v>1482</v>
      </c>
      <c r="B1486" s="1085" t="str">
        <f t="shared" si="23"/>
        <v>Ngultrum</v>
      </c>
      <c r="C1486" s="1070" t="s">
        <v>3580</v>
      </c>
      <c r="D1486" s="822"/>
      <c r="E1486" s="822"/>
      <c r="F1486" s="822"/>
      <c r="G1486" s="822"/>
      <c r="H1486" s="822"/>
    </row>
    <row r="1487" spans="1:8" x14ac:dyDescent="0.2">
      <c r="A1487" s="820">
        <v>1483</v>
      </c>
      <c r="B1487" s="1085" t="str">
        <f t="shared" si="23"/>
        <v>Bahrain</v>
      </c>
      <c r="C1487" s="1070" t="s">
        <v>3086</v>
      </c>
      <c r="D1487" s="822"/>
      <c r="E1487" s="822"/>
      <c r="F1487" s="822"/>
      <c r="G1487" s="822"/>
      <c r="H1487" s="822"/>
    </row>
    <row r="1488" spans="1:8" x14ac:dyDescent="0.2">
      <c r="A1488" s="820">
        <v>1484</v>
      </c>
      <c r="B1488" s="1085" t="str">
        <f t="shared" si="23"/>
        <v>Pula</v>
      </c>
      <c r="C1488" s="1070" t="s">
        <v>3582</v>
      </c>
      <c r="D1488" s="822"/>
      <c r="E1488" s="822"/>
      <c r="F1488" s="822"/>
      <c r="G1488" s="822"/>
      <c r="H1488" s="822"/>
    </row>
    <row r="1489" spans="1:8" x14ac:dyDescent="0.2">
      <c r="A1489" s="820">
        <v>1485</v>
      </c>
      <c r="B1489" s="1085" t="str">
        <f t="shared" si="23"/>
        <v>Burundi</v>
      </c>
      <c r="C1489" s="1070" t="s">
        <v>3087</v>
      </c>
      <c r="D1489" s="822"/>
      <c r="E1489" s="822"/>
      <c r="F1489" s="822"/>
      <c r="G1489" s="822"/>
      <c r="H1489" s="822"/>
    </row>
    <row r="1490" spans="1:8" x14ac:dyDescent="0.2">
      <c r="A1490" s="820">
        <v>1486</v>
      </c>
      <c r="B1490" s="1085" t="str">
        <f t="shared" si="23"/>
        <v>Belarusian Ruble</v>
      </c>
      <c r="C1490" s="1070" t="s">
        <v>3584</v>
      </c>
      <c r="D1490" s="822"/>
      <c r="E1490" s="822"/>
      <c r="F1490" s="822"/>
      <c r="G1490" s="822"/>
      <c r="H1490" s="822"/>
    </row>
    <row r="1491" spans="1:8" x14ac:dyDescent="0.2">
      <c r="A1491" s="820">
        <v>1487</v>
      </c>
      <c r="B1491" s="1085" t="str">
        <f t="shared" si="23"/>
        <v>Benin</v>
      </c>
      <c r="C1491" s="1070" t="s">
        <v>3088</v>
      </c>
      <c r="D1491" s="822"/>
      <c r="E1491" s="822"/>
      <c r="F1491" s="822"/>
      <c r="G1491" s="822"/>
      <c r="H1491" s="822"/>
    </row>
    <row r="1492" spans="1:8" x14ac:dyDescent="0.2">
      <c r="A1492" s="820">
        <v>1488</v>
      </c>
      <c r="B1492" s="1085" t="str">
        <f t="shared" si="23"/>
        <v>Belize Dollar</v>
      </c>
      <c r="C1492" s="1070" t="s">
        <v>3586</v>
      </c>
      <c r="D1492" s="822"/>
      <c r="E1492" s="822"/>
      <c r="F1492" s="822"/>
      <c r="G1492" s="822"/>
      <c r="H1492" s="822"/>
    </row>
    <row r="1493" spans="1:8" x14ac:dyDescent="0.2">
      <c r="A1493" s="820">
        <v>1489</v>
      </c>
      <c r="B1493" s="1085" t="str">
        <f t="shared" si="23"/>
        <v>Saint Barthélemy</v>
      </c>
      <c r="C1493" s="1070" t="s">
        <v>3089</v>
      </c>
      <c r="D1493" s="822"/>
      <c r="E1493" s="822"/>
      <c r="F1493" s="822"/>
      <c r="G1493" s="822"/>
      <c r="H1493" s="822"/>
    </row>
    <row r="1494" spans="1:8" x14ac:dyDescent="0.2">
      <c r="A1494" s="820">
        <v>1490</v>
      </c>
      <c r="B1494" s="1085" t="str">
        <f t="shared" si="23"/>
        <v>Canadian Dollar</v>
      </c>
      <c r="C1494" s="1070" t="s">
        <v>3588</v>
      </c>
      <c r="D1494" s="822"/>
      <c r="E1494" s="822"/>
      <c r="F1494" s="822"/>
      <c r="G1494" s="822"/>
      <c r="H1494" s="822"/>
    </row>
    <row r="1495" spans="1:8" x14ac:dyDescent="0.2">
      <c r="A1495" s="820">
        <v>1491</v>
      </c>
      <c r="B1495" s="1085" t="str">
        <f t="shared" si="23"/>
        <v>Bermuda</v>
      </c>
      <c r="C1495" s="1070" t="s">
        <v>3090</v>
      </c>
      <c r="D1495" s="822"/>
      <c r="E1495" s="822"/>
      <c r="F1495" s="822"/>
      <c r="G1495" s="822"/>
      <c r="H1495" s="822"/>
    </row>
    <row r="1496" spans="1:8" x14ac:dyDescent="0.2">
      <c r="A1496" s="820">
        <v>1492</v>
      </c>
      <c r="B1496" s="1085" t="str">
        <f t="shared" si="23"/>
        <v>Congolese Franc</v>
      </c>
      <c r="C1496" s="1070" t="s">
        <v>3590</v>
      </c>
      <c r="D1496" s="822"/>
      <c r="E1496" s="822"/>
      <c r="F1496" s="822"/>
      <c r="G1496" s="822"/>
      <c r="H1496" s="822"/>
    </row>
    <row r="1497" spans="1:8" x14ac:dyDescent="0.2">
      <c r="A1497" s="820">
        <v>1493</v>
      </c>
      <c r="B1497" s="1085" t="str">
        <f t="shared" si="23"/>
        <v>Brunei Darussalam</v>
      </c>
      <c r="C1497" s="1070" t="s">
        <v>3091</v>
      </c>
      <c r="D1497" s="822"/>
      <c r="E1497" s="822"/>
      <c r="F1497" s="822"/>
      <c r="G1497" s="822"/>
      <c r="H1497" s="822"/>
    </row>
    <row r="1498" spans="1:8" x14ac:dyDescent="0.2">
      <c r="A1498" s="820">
        <v>1494</v>
      </c>
      <c r="B1498" s="1085" t="str">
        <f t="shared" si="23"/>
        <v>WIR Euro</v>
      </c>
      <c r="C1498" s="1070" t="s">
        <v>3592</v>
      </c>
      <c r="D1498" s="822"/>
      <c r="E1498" s="822"/>
      <c r="F1498" s="822"/>
      <c r="G1498" s="822"/>
      <c r="H1498" s="822"/>
    </row>
    <row r="1499" spans="1:8" x14ac:dyDescent="0.2">
      <c r="A1499" s="820">
        <v>1495</v>
      </c>
      <c r="B1499" s="1085" t="str">
        <f t="shared" si="23"/>
        <v>Bolivia, Plurinational State of</v>
      </c>
      <c r="C1499" s="1070" t="s">
        <v>3092</v>
      </c>
      <c r="D1499" s="822"/>
      <c r="E1499" s="822"/>
      <c r="F1499" s="822"/>
      <c r="G1499" s="822"/>
      <c r="H1499" s="822"/>
    </row>
    <row r="1500" spans="1:8" x14ac:dyDescent="0.2">
      <c r="A1500" s="820">
        <v>1496</v>
      </c>
      <c r="B1500" s="1085" t="str">
        <f t="shared" si="23"/>
        <v>Swiss Franc</v>
      </c>
      <c r="C1500" s="1070" t="s">
        <v>3594</v>
      </c>
      <c r="D1500" s="822"/>
      <c r="E1500" s="822"/>
      <c r="F1500" s="822"/>
      <c r="G1500" s="822"/>
      <c r="H1500" s="822"/>
    </row>
    <row r="1501" spans="1:8" x14ac:dyDescent="0.2">
      <c r="A1501" s="820">
        <v>1497</v>
      </c>
      <c r="B1501" s="1085" t="str">
        <f t="shared" si="23"/>
        <v>Bonaire, Sint Eustatius and Saba</v>
      </c>
      <c r="C1501" s="1070" t="s">
        <v>3093</v>
      </c>
      <c r="D1501" s="822"/>
      <c r="E1501" s="822"/>
      <c r="F1501" s="822"/>
      <c r="G1501" s="822"/>
      <c r="H1501" s="822"/>
    </row>
    <row r="1502" spans="1:8" x14ac:dyDescent="0.2">
      <c r="A1502" s="820">
        <v>1498</v>
      </c>
      <c r="B1502" s="1085" t="str">
        <f t="shared" si="23"/>
        <v>WIR Franc</v>
      </c>
      <c r="C1502" s="1070" t="s">
        <v>3596</v>
      </c>
      <c r="D1502" s="822"/>
      <c r="E1502" s="822"/>
      <c r="F1502" s="822"/>
      <c r="G1502" s="822"/>
      <c r="H1502" s="822"/>
    </row>
    <row r="1503" spans="1:8" x14ac:dyDescent="0.2">
      <c r="A1503" s="820">
        <v>1499</v>
      </c>
      <c r="B1503" s="1085" t="str">
        <f t="shared" si="23"/>
        <v>Brazil</v>
      </c>
      <c r="C1503" s="1070" t="s">
        <v>3094</v>
      </c>
      <c r="D1503" s="822"/>
      <c r="E1503" s="822"/>
      <c r="F1503" s="822"/>
      <c r="G1503" s="822"/>
      <c r="H1503" s="822"/>
    </row>
    <row r="1504" spans="1:8" x14ac:dyDescent="0.2">
      <c r="A1504" s="820">
        <v>1500</v>
      </c>
      <c r="B1504" s="1085" t="str">
        <f t="shared" si="23"/>
        <v>Unidad de Fomento</v>
      </c>
      <c r="C1504" s="1070" t="s">
        <v>3598</v>
      </c>
      <c r="D1504" s="822"/>
      <c r="E1504" s="822"/>
      <c r="F1504" s="822"/>
      <c r="G1504" s="822"/>
      <c r="H1504" s="822"/>
    </row>
    <row r="1505" spans="1:8" x14ac:dyDescent="0.2">
      <c r="A1505" s="820">
        <v>1501</v>
      </c>
      <c r="B1505" s="1085" t="str">
        <f t="shared" si="23"/>
        <v>Bahamas</v>
      </c>
      <c r="C1505" s="1070" t="s">
        <v>3095</v>
      </c>
      <c r="D1505" s="822"/>
      <c r="E1505" s="822"/>
      <c r="F1505" s="822"/>
      <c r="G1505" s="822"/>
      <c r="H1505" s="822"/>
    </row>
    <row r="1506" spans="1:8" x14ac:dyDescent="0.2">
      <c r="A1506" s="820">
        <v>1502</v>
      </c>
      <c r="B1506" s="1085" t="str">
        <f t="shared" si="23"/>
        <v>Chilean Peso</v>
      </c>
      <c r="C1506" s="1070" t="s">
        <v>3600</v>
      </c>
      <c r="D1506" s="822"/>
      <c r="E1506" s="822"/>
      <c r="F1506" s="822"/>
      <c r="G1506" s="822"/>
      <c r="H1506" s="822"/>
    </row>
    <row r="1507" spans="1:8" x14ac:dyDescent="0.2">
      <c r="A1507" s="820">
        <v>1503</v>
      </c>
      <c r="B1507" s="1085" t="str">
        <f t="shared" si="23"/>
        <v>Bhutan</v>
      </c>
      <c r="C1507" s="1070" t="s">
        <v>3096</v>
      </c>
      <c r="D1507" s="822"/>
      <c r="E1507" s="822"/>
      <c r="F1507" s="822"/>
      <c r="G1507" s="822"/>
      <c r="H1507" s="822"/>
    </row>
    <row r="1508" spans="1:8" x14ac:dyDescent="0.2">
      <c r="A1508" s="820">
        <v>1504</v>
      </c>
      <c r="B1508" s="1085" t="str">
        <f t="shared" si="23"/>
        <v>Yuan Renminbi</v>
      </c>
      <c r="C1508" s="1070" t="s">
        <v>3602</v>
      </c>
      <c r="D1508" s="822"/>
      <c r="E1508" s="822"/>
      <c r="F1508" s="822"/>
      <c r="G1508" s="822"/>
      <c r="H1508" s="822"/>
    </row>
    <row r="1509" spans="1:8" x14ac:dyDescent="0.2">
      <c r="A1509" s="820">
        <v>1505</v>
      </c>
      <c r="B1509" s="1085" t="str">
        <f t="shared" si="23"/>
        <v>Bouvet Island</v>
      </c>
      <c r="C1509" s="1070" t="s">
        <v>3097</v>
      </c>
      <c r="D1509" s="822"/>
      <c r="E1509" s="822"/>
      <c r="F1509" s="822"/>
      <c r="G1509" s="822"/>
      <c r="H1509" s="822"/>
    </row>
    <row r="1510" spans="1:8" x14ac:dyDescent="0.2">
      <c r="A1510" s="820">
        <v>1506</v>
      </c>
      <c r="B1510" s="1085" t="str">
        <f t="shared" si="23"/>
        <v>Colombian Peso</v>
      </c>
      <c r="C1510" s="1070" t="s">
        <v>3604</v>
      </c>
      <c r="D1510" s="822"/>
      <c r="E1510" s="822"/>
      <c r="F1510" s="822"/>
      <c r="G1510" s="822"/>
      <c r="H1510" s="822"/>
    </row>
    <row r="1511" spans="1:8" x14ac:dyDescent="0.2">
      <c r="A1511" s="820">
        <v>1507</v>
      </c>
      <c r="B1511" s="1085" t="str">
        <f t="shared" si="23"/>
        <v>Botswana</v>
      </c>
      <c r="C1511" s="1070" t="s">
        <v>3098</v>
      </c>
      <c r="D1511" s="822"/>
      <c r="E1511" s="822"/>
      <c r="F1511" s="822"/>
      <c r="G1511" s="822"/>
      <c r="H1511" s="822"/>
    </row>
    <row r="1512" spans="1:8" x14ac:dyDescent="0.2">
      <c r="A1512" s="820">
        <v>1508</v>
      </c>
      <c r="B1512" s="1085" t="str">
        <f t="shared" si="23"/>
        <v>Unidad de Valor Real</v>
      </c>
      <c r="C1512" s="1070" t="s">
        <v>3606</v>
      </c>
      <c r="D1512" s="822"/>
      <c r="E1512" s="822"/>
      <c r="F1512" s="822"/>
      <c r="G1512" s="822"/>
      <c r="H1512" s="822"/>
    </row>
    <row r="1513" spans="1:8" x14ac:dyDescent="0.2">
      <c r="A1513" s="820">
        <v>1509</v>
      </c>
      <c r="B1513" s="1085" t="str">
        <f t="shared" si="23"/>
        <v>Belarus</v>
      </c>
      <c r="C1513" s="1070" t="s">
        <v>3099</v>
      </c>
      <c r="D1513" s="822"/>
      <c r="E1513" s="822"/>
      <c r="F1513" s="822"/>
      <c r="G1513" s="822"/>
      <c r="H1513" s="822"/>
    </row>
    <row r="1514" spans="1:8" x14ac:dyDescent="0.2">
      <c r="A1514" s="820">
        <v>1510</v>
      </c>
      <c r="B1514" s="1085" t="str">
        <f t="shared" si="23"/>
        <v>Costa Rican Colon</v>
      </c>
      <c r="C1514" s="1070" t="s">
        <v>3608</v>
      </c>
      <c r="D1514" s="822"/>
      <c r="E1514" s="822"/>
      <c r="F1514" s="822"/>
      <c r="G1514" s="822"/>
      <c r="H1514" s="822"/>
    </row>
    <row r="1515" spans="1:8" x14ac:dyDescent="0.2">
      <c r="A1515" s="820">
        <v>1511</v>
      </c>
      <c r="B1515" s="1085" t="str">
        <f t="shared" si="23"/>
        <v>Belize</v>
      </c>
      <c r="C1515" s="1070" t="s">
        <v>3100</v>
      </c>
      <c r="D1515" s="822"/>
      <c r="E1515" s="822"/>
      <c r="F1515" s="822"/>
      <c r="G1515" s="822"/>
      <c r="H1515" s="822"/>
    </row>
    <row r="1516" spans="1:8" x14ac:dyDescent="0.2">
      <c r="A1516" s="820">
        <v>1512</v>
      </c>
      <c r="B1516" s="1085" t="str">
        <f t="shared" si="23"/>
        <v>Peso Convertible</v>
      </c>
      <c r="C1516" s="1070" t="s">
        <v>3610</v>
      </c>
      <c r="D1516" s="822"/>
      <c r="E1516" s="822"/>
      <c r="F1516" s="822"/>
      <c r="G1516" s="822"/>
      <c r="H1516" s="822"/>
    </row>
    <row r="1517" spans="1:8" x14ac:dyDescent="0.2">
      <c r="A1517" s="820">
        <v>1513</v>
      </c>
      <c r="B1517" s="1085" t="str">
        <f t="shared" si="23"/>
        <v>Canada</v>
      </c>
      <c r="C1517" s="1070" t="s">
        <v>3101</v>
      </c>
      <c r="D1517" s="822"/>
      <c r="E1517" s="822"/>
      <c r="F1517" s="822"/>
      <c r="G1517" s="822"/>
      <c r="H1517" s="822"/>
    </row>
    <row r="1518" spans="1:8" x14ac:dyDescent="0.2">
      <c r="A1518" s="820">
        <v>1514</v>
      </c>
      <c r="B1518" s="1085" t="str">
        <f t="shared" si="23"/>
        <v>Cuban Peso</v>
      </c>
      <c r="C1518" s="1070" t="s">
        <v>3612</v>
      </c>
      <c r="D1518" s="822"/>
      <c r="E1518" s="822"/>
      <c r="F1518" s="822"/>
      <c r="G1518" s="822"/>
      <c r="H1518" s="822"/>
    </row>
    <row r="1519" spans="1:8" x14ac:dyDescent="0.2">
      <c r="A1519" s="820">
        <v>1515</v>
      </c>
      <c r="B1519" s="1085" t="str">
        <f t="shared" si="23"/>
        <v>Cocos Islands (or Keeling Islands)</v>
      </c>
      <c r="C1519" s="1070" t="s">
        <v>3102</v>
      </c>
      <c r="D1519" s="822"/>
      <c r="E1519" s="822"/>
      <c r="F1519" s="822"/>
      <c r="G1519" s="822"/>
      <c r="H1519" s="822"/>
    </row>
    <row r="1520" spans="1:8" x14ac:dyDescent="0.2">
      <c r="A1520" s="820">
        <v>1516</v>
      </c>
      <c r="B1520" s="1085" t="str">
        <f t="shared" si="23"/>
        <v>Cabo Verde Escudo</v>
      </c>
      <c r="C1520" s="1070" t="s">
        <v>3614</v>
      </c>
      <c r="D1520" s="822"/>
      <c r="E1520" s="822"/>
      <c r="F1520" s="822"/>
      <c r="G1520" s="822"/>
      <c r="H1520" s="822"/>
    </row>
    <row r="1521" spans="1:8" x14ac:dyDescent="0.2">
      <c r="A1521" s="820">
        <v>1517</v>
      </c>
      <c r="B1521" s="1085" t="str">
        <f t="shared" si="23"/>
        <v>Congo, Democratic Republic of</v>
      </c>
      <c r="C1521" s="1070" t="s">
        <v>3103</v>
      </c>
      <c r="D1521" s="822"/>
      <c r="E1521" s="822"/>
      <c r="F1521" s="822"/>
      <c r="G1521" s="822"/>
      <c r="H1521" s="822"/>
    </row>
    <row r="1522" spans="1:8" x14ac:dyDescent="0.2">
      <c r="A1522" s="820">
        <v>1518</v>
      </c>
      <c r="B1522" s="1085" t="str">
        <f t="shared" si="23"/>
        <v>Czech Koruna</v>
      </c>
      <c r="C1522" s="1070" t="s">
        <v>3616</v>
      </c>
      <c r="D1522" s="822"/>
      <c r="E1522" s="822"/>
      <c r="F1522" s="822"/>
      <c r="G1522" s="822"/>
      <c r="H1522" s="822"/>
    </row>
    <row r="1523" spans="1:8" x14ac:dyDescent="0.2">
      <c r="A1523" s="820">
        <v>1519</v>
      </c>
      <c r="B1523" s="1085" t="str">
        <f t="shared" si="23"/>
        <v>Central African Republic</v>
      </c>
      <c r="C1523" s="1070" t="s">
        <v>3104</v>
      </c>
      <c r="D1523" s="822"/>
      <c r="E1523" s="822"/>
      <c r="F1523" s="822"/>
      <c r="G1523" s="822"/>
      <c r="H1523" s="822"/>
    </row>
    <row r="1524" spans="1:8" x14ac:dyDescent="0.2">
      <c r="A1524" s="820">
        <v>1520</v>
      </c>
      <c r="B1524" s="1085" t="str">
        <f t="shared" si="23"/>
        <v>Djibouti Franc</v>
      </c>
      <c r="C1524" s="1070" t="s">
        <v>3618</v>
      </c>
      <c r="D1524" s="822"/>
      <c r="E1524" s="822"/>
      <c r="F1524" s="822"/>
      <c r="G1524" s="822"/>
      <c r="H1524" s="822"/>
    </row>
    <row r="1525" spans="1:8" x14ac:dyDescent="0.2">
      <c r="A1525" s="820">
        <v>1521</v>
      </c>
      <c r="B1525" s="1085" t="str">
        <f t="shared" si="23"/>
        <v>Congo</v>
      </c>
      <c r="C1525" s="1070" t="s">
        <v>3105</v>
      </c>
      <c r="D1525" s="822"/>
      <c r="E1525" s="822"/>
      <c r="F1525" s="822"/>
      <c r="G1525" s="822"/>
      <c r="H1525" s="822"/>
    </row>
    <row r="1526" spans="1:8" x14ac:dyDescent="0.2">
      <c r="A1526" s="820">
        <v>1522</v>
      </c>
      <c r="B1526" s="1085" t="str">
        <f t="shared" si="23"/>
        <v>Danish Krone</v>
      </c>
      <c r="C1526" s="1070" t="s">
        <v>3620</v>
      </c>
      <c r="D1526" s="822"/>
      <c r="E1526" s="822"/>
      <c r="F1526" s="822"/>
      <c r="G1526" s="822"/>
      <c r="H1526" s="822"/>
    </row>
    <row r="1527" spans="1:8" x14ac:dyDescent="0.2">
      <c r="A1527" s="820">
        <v>1523</v>
      </c>
      <c r="B1527" s="1085" t="str">
        <f t="shared" si="23"/>
        <v>Switzerland</v>
      </c>
      <c r="C1527" s="1070" t="s">
        <v>3106</v>
      </c>
      <c r="D1527" s="822"/>
      <c r="E1527" s="822"/>
      <c r="F1527" s="822"/>
      <c r="G1527" s="822"/>
      <c r="H1527" s="822"/>
    </row>
    <row r="1528" spans="1:8" x14ac:dyDescent="0.2">
      <c r="A1528" s="820">
        <v>1524</v>
      </c>
      <c r="B1528" s="1085" t="str">
        <f t="shared" si="23"/>
        <v>Dominican Peso</v>
      </c>
      <c r="C1528" s="1070" t="s">
        <v>3622</v>
      </c>
      <c r="D1528" s="822"/>
      <c r="E1528" s="822"/>
      <c r="F1528" s="822"/>
      <c r="G1528" s="822"/>
      <c r="H1528" s="822"/>
    </row>
    <row r="1529" spans="1:8" x14ac:dyDescent="0.2">
      <c r="A1529" s="820">
        <v>1525</v>
      </c>
      <c r="B1529" s="1085" t="str">
        <f t="shared" si="23"/>
        <v>Côte d'Ivoire</v>
      </c>
      <c r="C1529" s="1070" t="s">
        <v>3107</v>
      </c>
      <c r="D1529" s="822"/>
      <c r="E1529" s="822"/>
      <c r="F1529" s="822"/>
      <c r="G1529" s="822"/>
      <c r="H1529" s="822"/>
    </row>
    <row r="1530" spans="1:8" x14ac:dyDescent="0.2">
      <c r="A1530" s="820">
        <v>1526</v>
      </c>
      <c r="B1530" s="1085" t="str">
        <f t="shared" si="23"/>
        <v>Algerian Dinar</v>
      </c>
      <c r="C1530" s="1070" t="s">
        <v>3624</v>
      </c>
      <c r="D1530" s="822"/>
      <c r="E1530" s="822"/>
      <c r="F1530" s="822"/>
      <c r="G1530" s="822"/>
      <c r="H1530" s="822"/>
    </row>
    <row r="1531" spans="1:8" x14ac:dyDescent="0.2">
      <c r="A1531" s="820">
        <v>1527</v>
      </c>
      <c r="B1531" s="1085" t="str">
        <f t="shared" si="23"/>
        <v>Cook Islands</v>
      </c>
      <c r="C1531" s="1070" t="s">
        <v>3108</v>
      </c>
      <c r="D1531" s="822"/>
      <c r="E1531" s="822"/>
      <c r="F1531" s="822"/>
      <c r="G1531" s="822"/>
      <c r="H1531" s="822"/>
    </row>
    <row r="1532" spans="1:8" x14ac:dyDescent="0.2">
      <c r="A1532" s="820">
        <v>1528</v>
      </c>
      <c r="B1532" s="1085" t="str">
        <f t="shared" si="23"/>
        <v>Egyptian Pound</v>
      </c>
      <c r="C1532" s="1070" t="s">
        <v>3626</v>
      </c>
      <c r="D1532" s="822"/>
      <c r="E1532" s="822"/>
      <c r="F1532" s="822"/>
      <c r="G1532" s="822"/>
      <c r="H1532" s="822"/>
    </row>
    <row r="1533" spans="1:8" x14ac:dyDescent="0.2">
      <c r="A1533" s="820">
        <v>1529</v>
      </c>
      <c r="B1533" s="1085" t="str">
        <f t="shared" si="23"/>
        <v>Chile</v>
      </c>
      <c r="C1533" s="1070" t="s">
        <v>3109</v>
      </c>
      <c r="D1533" s="822"/>
      <c r="E1533" s="822"/>
      <c r="F1533" s="822"/>
      <c r="G1533" s="822"/>
      <c r="H1533" s="822"/>
    </row>
    <row r="1534" spans="1:8" x14ac:dyDescent="0.2">
      <c r="A1534" s="820">
        <v>1530</v>
      </c>
      <c r="B1534" s="1085" t="str">
        <f t="shared" si="23"/>
        <v>Nakfa</v>
      </c>
      <c r="C1534" s="1070" t="s">
        <v>3628</v>
      </c>
      <c r="D1534" s="822"/>
      <c r="E1534" s="822"/>
      <c r="F1534" s="822"/>
      <c r="G1534" s="822"/>
      <c r="H1534" s="822"/>
    </row>
    <row r="1535" spans="1:8" x14ac:dyDescent="0.2">
      <c r="A1535" s="820">
        <v>1531</v>
      </c>
      <c r="B1535" s="1085" t="str">
        <f t="shared" si="23"/>
        <v>Cameroon</v>
      </c>
      <c r="C1535" s="1070" t="s">
        <v>3110</v>
      </c>
      <c r="D1535" s="822"/>
      <c r="E1535" s="822"/>
      <c r="F1535" s="822"/>
      <c r="G1535" s="822"/>
      <c r="H1535" s="822"/>
    </row>
    <row r="1536" spans="1:8" x14ac:dyDescent="0.2">
      <c r="A1536" s="820">
        <v>1532</v>
      </c>
      <c r="B1536" s="1085" t="str">
        <f t="shared" si="23"/>
        <v>Ethiopian Birr</v>
      </c>
      <c r="C1536" s="1070" t="s">
        <v>3630</v>
      </c>
      <c r="D1536" s="822"/>
      <c r="E1536" s="822"/>
      <c r="F1536" s="822"/>
      <c r="G1536" s="822"/>
      <c r="H1536" s="822"/>
    </row>
    <row r="1537" spans="1:8" x14ac:dyDescent="0.2">
      <c r="A1537" s="820">
        <v>1533</v>
      </c>
      <c r="B1537" s="1085" t="str">
        <f t="shared" si="23"/>
        <v>China</v>
      </c>
      <c r="C1537" s="1070" t="s">
        <v>3112</v>
      </c>
      <c r="D1537" s="822"/>
      <c r="E1537" s="822"/>
      <c r="F1537" s="822"/>
      <c r="G1537" s="822"/>
      <c r="H1537" s="822"/>
    </row>
    <row r="1538" spans="1:8" x14ac:dyDescent="0.2">
      <c r="A1538" s="820">
        <v>1534</v>
      </c>
      <c r="B1538" s="1085" t="str">
        <f t="shared" si="23"/>
        <v>Euro</v>
      </c>
      <c r="C1538" s="1070" t="s">
        <v>3632</v>
      </c>
      <c r="D1538" s="822"/>
      <c r="E1538" s="822"/>
      <c r="F1538" s="822"/>
      <c r="G1538" s="822"/>
      <c r="H1538" s="822"/>
    </row>
    <row r="1539" spans="1:8" x14ac:dyDescent="0.2">
      <c r="A1539" s="820">
        <v>1535</v>
      </c>
      <c r="B1539" s="1085" t="str">
        <f t="shared" si="23"/>
        <v>Colombia</v>
      </c>
      <c r="C1539" s="1070" t="s">
        <v>3113</v>
      </c>
      <c r="D1539" s="822"/>
      <c r="E1539" s="822"/>
      <c r="F1539" s="822"/>
      <c r="G1539" s="822"/>
      <c r="H1539" s="822"/>
    </row>
    <row r="1540" spans="1:8" x14ac:dyDescent="0.2">
      <c r="A1540" s="820">
        <v>1536</v>
      </c>
      <c r="B1540" s="1085" t="str">
        <f t="shared" si="23"/>
        <v>Fiji Dollar</v>
      </c>
      <c r="C1540" s="1070" t="s">
        <v>3634</v>
      </c>
      <c r="D1540" s="822"/>
      <c r="E1540" s="822"/>
      <c r="F1540" s="822"/>
      <c r="G1540" s="822"/>
      <c r="H1540" s="822"/>
    </row>
    <row r="1541" spans="1:8" x14ac:dyDescent="0.2">
      <c r="A1541" s="820">
        <v>1537</v>
      </c>
      <c r="B1541" s="1085" t="str">
        <f t="shared" si="23"/>
        <v>Costa Rica</v>
      </c>
      <c r="C1541" s="1070" t="s">
        <v>3114</v>
      </c>
      <c r="D1541" s="822"/>
      <c r="E1541" s="822"/>
      <c r="F1541" s="822"/>
      <c r="G1541" s="822"/>
      <c r="H1541" s="822"/>
    </row>
    <row r="1542" spans="1:8" x14ac:dyDescent="0.2">
      <c r="A1542" s="820">
        <v>1538</v>
      </c>
      <c r="B1542" s="1085" t="str">
        <f t="shared" ref="B1542:B1605" si="24">IFERROR(INDEX(C1542:M1542,$A$3-2),$C1542)</f>
        <v>Falkland Islands Pound</v>
      </c>
      <c r="C1542" s="1070" t="s">
        <v>3636</v>
      </c>
      <c r="D1542" s="822"/>
      <c r="E1542" s="822"/>
      <c r="F1542" s="822"/>
      <c r="G1542" s="822"/>
      <c r="H1542" s="822"/>
    </row>
    <row r="1543" spans="1:8" x14ac:dyDescent="0.2">
      <c r="A1543" s="820">
        <v>1539</v>
      </c>
      <c r="B1543" s="1085" t="str">
        <f t="shared" si="24"/>
        <v>Serbia and Montenegro</v>
      </c>
      <c r="C1543" s="1070" t="s">
        <v>3115</v>
      </c>
      <c r="D1543" s="822"/>
      <c r="E1543" s="822"/>
      <c r="F1543" s="822"/>
      <c r="G1543" s="822"/>
      <c r="H1543" s="822"/>
    </row>
    <row r="1544" spans="1:8" x14ac:dyDescent="0.2">
      <c r="A1544" s="820">
        <v>1540</v>
      </c>
      <c r="B1544" s="1085" t="str">
        <f t="shared" si="24"/>
        <v>Pound Sterling</v>
      </c>
      <c r="C1544" s="1070" t="s">
        <v>3638</v>
      </c>
      <c r="D1544" s="822"/>
      <c r="E1544" s="822"/>
      <c r="F1544" s="822"/>
      <c r="G1544" s="822"/>
      <c r="H1544" s="822"/>
    </row>
    <row r="1545" spans="1:8" x14ac:dyDescent="0.2">
      <c r="A1545" s="820">
        <v>1541</v>
      </c>
      <c r="B1545" s="1085" t="str">
        <f t="shared" si="24"/>
        <v>Cuba</v>
      </c>
      <c r="C1545" s="1070" t="s">
        <v>3116</v>
      </c>
      <c r="D1545" s="822"/>
      <c r="E1545" s="822"/>
      <c r="F1545" s="822"/>
      <c r="G1545" s="822"/>
      <c r="H1545" s="822"/>
    </row>
    <row r="1546" spans="1:8" x14ac:dyDescent="0.2">
      <c r="A1546" s="820">
        <v>1542</v>
      </c>
      <c r="B1546" s="1085" t="str">
        <f t="shared" si="24"/>
        <v>Lari</v>
      </c>
      <c r="C1546" s="1070" t="s">
        <v>3640</v>
      </c>
      <c r="D1546" s="822"/>
      <c r="E1546" s="822"/>
      <c r="F1546" s="822"/>
      <c r="G1546" s="822"/>
      <c r="H1546" s="822"/>
    </row>
    <row r="1547" spans="1:8" x14ac:dyDescent="0.2">
      <c r="A1547" s="820">
        <v>1543</v>
      </c>
      <c r="B1547" s="1085" t="str">
        <f t="shared" si="24"/>
        <v>Cape Verde</v>
      </c>
      <c r="C1547" s="1070" t="s">
        <v>3117</v>
      </c>
      <c r="D1547" s="822"/>
      <c r="E1547" s="822"/>
      <c r="F1547" s="822"/>
      <c r="G1547" s="822"/>
      <c r="H1547" s="822"/>
    </row>
    <row r="1548" spans="1:8" x14ac:dyDescent="0.2">
      <c r="A1548" s="820">
        <v>1544</v>
      </c>
      <c r="B1548" s="1085" t="str">
        <f t="shared" si="24"/>
        <v>Ghana Cedi</v>
      </c>
      <c r="C1548" s="1070" t="s">
        <v>3642</v>
      </c>
      <c r="D1548" s="822"/>
      <c r="E1548" s="822"/>
      <c r="F1548" s="822"/>
      <c r="G1548" s="822"/>
      <c r="H1548" s="822"/>
    </row>
    <row r="1549" spans="1:8" x14ac:dyDescent="0.2">
      <c r="A1549" s="820">
        <v>1545</v>
      </c>
      <c r="B1549" s="1085" t="str">
        <f t="shared" si="24"/>
        <v>Curaçao</v>
      </c>
      <c r="C1549" s="1070" t="s">
        <v>3118</v>
      </c>
      <c r="D1549" s="822"/>
      <c r="E1549" s="822"/>
      <c r="F1549" s="822"/>
      <c r="G1549" s="822"/>
      <c r="H1549" s="822"/>
    </row>
    <row r="1550" spans="1:8" x14ac:dyDescent="0.2">
      <c r="A1550" s="820">
        <v>1546</v>
      </c>
      <c r="B1550" s="1085" t="str">
        <f t="shared" si="24"/>
        <v>Gibraltar Pound</v>
      </c>
      <c r="C1550" s="1070" t="s">
        <v>3644</v>
      </c>
      <c r="D1550" s="822"/>
      <c r="E1550" s="822"/>
      <c r="F1550" s="822"/>
      <c r="G1550" s="822"/>
      <c r="H1550" s="822"/>
    </row>
    <row r="1551" spans="1:8" x14ac:dyDescent="0.2">
      <c r="A1551" s="820">
        <v>1547</v>
      </c>
      <c r="B1551" s="1085" t="str">
        <f t="shared" si="24"/>
        <v>Christmas Island</v>
      </c>
      <c r="C1551" s="1070" t="s">
        <v>3119</v>
      </c>
      <c r="D1551" s="822"/>
      <c r="E1551" s="822"/>
      <c r="F1551" s="822"/>
      <c r="G1551" s="822"/>
      <c r="H1551" s="822"/>
    </row>
    <row r="1552" spans="1:8" x14ac:dyDescent="0.2">
      <c r="A1552" s="820">
        <v>1548</v>
      </c>
      <c r="B1552" s="1085" t="str">
        <f t="shared" si="24"/>
        <v>Dalasi</v>
      </c>
      <c r="C1552" s="1070" t="s">
        <v>3646</v>
      </c>
      <c r="D1552" s="822"/>
      <c r="E1552" s="822"/>
      <c r="F1552" s="822"/>
      <c r="G1552" s="822"/>
      <c r="H1552" s="822"/>
    </row>
    <row r="1553" spans="1:8" x14ac:dyDescent="0.2">
      <c r="A1553" s="820">
        <v>1549</v>
      </c>
      <c r="B1553" s="1085" t="str">
        <f t="shared" si="24"/>
        <v>Guinean Franc</v>
      </c>
      <c r="C1553" s="1070" t="s">
        <v>3648</v>
      </c>
      <c r="D1553" s="822"/>
      <c r="E1553" s="822"/>
      <c r="F1553" s="822"/>
      <c r="G1553" s="822"/>
      <c r="H1553" s="822"/>
    </row>
    <row r="1554" spans="1:8" x14ac:dyDescent="0.2">
      <c r="A1554" s="820">
        <v>1550</v>
      </c>
      <c r="B1554" s="1085" t="str">
        <f t="shared" si="24"/>
        <v>Czechia</v>
      </c>
      <c r="C1554" s="1070" t="s">
        <v>3120</v>
      </c>
      <c r="D1554" s="822"/>
      <c r="E1554" s="822"/>
      <c r="F1554" s="822"/>
      <c r="G1554" s="822"/>
      <c r="H1554" s="822"/>
    </row>
    <row r="1555" spans="1:8" x14ac:dyDescent="0.2">
      <c r="A1555" s="820">
        <v>1551</v>
      </c>
      <c r="B1555" s="1085" t="str">
        <f t="shared" si="24"/>
        <v>Quetzal</v>
      </c>
      <c r="C1555" s="1070" t="s">
        <v>3650</v>
      </c>
      <c r="D1555" s="822"/>
      <c r="E1555" s="822"/>
      <c r="F1555" s="822"/>
      <c r="G1555" s="822"/>
      <c r="H1555" s="822"/>
    </row>
    <row r="1556" spans="1:8" x14ac:dyDescent="0.2">
      <c r="A1556" s="820">
        <v>1552</v>
      </c>
      <c r="B1556" s="1085" t="str">
        <f t="shared" si="24"/>
        <v>Guyana Dollar</v>
      </c>
      <c r="C1556" s="1070" t="s">
        <v>3652</v>
      </c>
      <c r="D1556" s="822"/>
      <c r="E1556" s="822"/>
      <c r="F1556" s="822"/>
      <c r="G1556" s="822"/>
      <c r="H1556" s="822"/>
    </row>
    <row r="1557" spans="1:8" x14ac:dyDescent="0.2">
      <c r="A1557" s="820">
        <v>1553</v>
      </c>
      <c r="B1557" s="1085" t="str">
        <f t="shared" si="24"/>
        <v>Djibouti</v>
      </c>
      <c r="C1557" s="1070" t="s">
        <v>3121</v>
      </c>
      <c r="D1557" s="822"/>
      <c r="E1557" s="822"/>
      <c r="F1557" s="822"/>
      <c r="G1557" s="822"/>
      <c r="H1557" s="822"/>
    </row>
    <row r="1558" spans="1:8" x14ac:dyDescent="0.2">
      <c r="A1558" s="820">
        <v>1554</v>
      </c>
      <c r="B1558" s="1085" t="str">
        <f t="shared" si="24"/>
        <v>Hong Kong Dollar</v>
      </c>
      <c r="C1558" s="1070" t="s">
        <v>3654</v>
      </c>
      <c r="D1558" s="822"/>
      <c r="E1558" s="822"/>
      <c r="F1558" s="822"/>
      <c r="G1558" s="822"/>
      <c r="H1558" s="822"/>
    </row>
    <row r="1559" spans="1:8" x14ac:dyDescent="0.2">
      <c r="A1559" s="820">
        <v>1555</v>
      </c>
      <c r="B1559" s="1085" t="str">
        <f t="shared" si="24"/>
        <v>Lempira</v>
      </c>
      <c r="C1559" s="1070" t="s">
        <v>3656</v>
      </c>
      <c r="D1559" s="822"/>
      <c r="E1559" s="822"/>
      <c r="F1559" s="822"/>
      <c r="G1559" s="822"/>
      <c r="H1559" s="822"/>
    </row>
    <row r="1560" spans="1:8" x14ac:dyDescent="0.2">
      <c r="A1560" s="820">
        <v>1556</v>
      </c>
      <c r="B1560" s="1085" t="str">
        <f t="shared" si="24"/>
        <v>Dominica</v>
      </c>
      <c r="C1560" s="1070" t="s">
        <v>3122</v>
      </c>
      <c r="D1560" s="822"/>
      <c r="E1560" s="822"/>
      <c r="F1560" s="822"/>
      <c r="G1560" s="822"/>
      <c r="H1560" s="822"/>
    </row>
    <row r="1561" spans="1:8" x14ac:dyDescent="0.2">
      <c r="A1561" s="820">
        <v>1557</v>
      </c>
      <c r="B1561" s="1085" t="str">
        <f t="shared" si="24"/>
        <v>Gourde</v>
      </c>
      <c r="C1561" s="1070" t="s">
        <v>3658</v>
      </c>
      <c r="D1561" s="822"/>
      <c r="E1561" s="822"/>
      <c r="F1561" s="822"/>
      <c r="G1561" s="822"/>
      <c r="H1561" s="822"/>
    </row>
    <row r="1562" spans="1:8" x14ac:dyDescent="0.2">
      <c r="A1562" s="820">
        <v>1558</v>
      </c>
      <c r="B1562" s="1085" t="str">
        <f t="shared" si="24"/>
        <v>Dominican Republic</v>
      </c>
      <c r="C1562" s="1070" t="s">
        <v>3123</v>
      </c>
      <c r="D1562" s="822"/>
      <c r="E1562" s="822"/>
      <c r="F1562" s="822"/>
      <c r="G1562" s="822"/>
      <c r="H1562" s="822"/>
    </row>
    <row r="1563" spans="1:8" x14ac:dyDescent="0.2">
      <c r="A1563" s="820">
        <v>1559</v>
      </c>
      <c r="B1563" s="1085" t="str">
        <f t="shared" si="24"/>
        <v>Forint</v>
      </c>
      <c r="C1563" s="1070" t="s">
        <v>3660</v>
      </c>
      <c r="D1563" s="822"/>
      <c r="E1563" s="822"/>
      <c r="F1563" s="822"/>
      <c r="G1563" s="822"/>
      <c r="H1563" s="822"/>
    </row>
    <row r="1564" spans="1:8" x14ac:dyDescent="0.2">
      <c r="A1564" s="820">
        <v>1560</v>
      </c>
      <c r="B1564" s="1085" t="str">
        <f t="shared" si="24"/>
        <v>Algeria</v>
      </c>
      <c r="C1564" s="1070" t="s">
        <v>3124</v>
      </c>
      <c r="D1564" s="822"/>
      <c r="E1564" s="822"/>
      <c r="F1564" s="822"/>
      <c r="G1564" s="822"/>
      <c r="H1564" s="822"/>
    </row>
    <row r="1565" spans="1:8" x14ac:dyDescent="0.2">
      <c r="A1565" s="820">
        <v>1561</v>
      </c>
      <c r="B1565" s="1085" t="str">
        <f t="shared" si="24"/>
        <v>Rupiah</v>
      </c>
      <c r="C1565" s="1070" t="s">
        <v>3662</v>
      </c>
      <c r="D1565" s="822"/>
      <c r="E1565" s="822"/>
      <c r="F1565" s="822"/>
      <c r="G1565" s="822"/>
      <c r="H1565" s="822"/>
    </row>
    <row r="1566" spans="1:8" x14ac:dyDescent="0.2">
      <c r="A1566" s="820">
        <v>1562</v>
      </c>
      <c r="B1566" s="1085" t="str">
        <f t="shared" si="24"/>
        <v>Ecuador</v>
      </c>
      <c r="C1566" s="1070" t="s">
        <v>3125</v>
      </c>
      <c r="D1566" s="822"/>
      <c r="E1566" s="822"/>
      <c r="F1566" s="822"/>
      <c r="G1566" s="822"/>
      <c r="H1566" s="822"/>
    </row>
    <row r="1567" spans="1:8" x14ac:dyDescent="0.2">
      <c r="A1567" s="820">
        <v>1563</v>
      </c>
      <c r="B1567" s="1085" t="str">
        <f t="shared" si="24"/>
        <v>New Israeli Sheqel</v>
      </c>
      <c r="C1567" s="1070" t="s">
        <v>3664</v>
      </c>
      <c r="D1567" s="822"/>
      <c r="E1567" s="822"/>
      <c r="F1567" s="822"/>
      <c r="G1567" s="822"/>
      <c r="H1567" s="822"/>
    </row>
    <row r="1568" spans="1:8" x14ac:dyDescent="0.2">
      <c r="A1568" s="820">
        <v>1564</v>
      </c>
      <c r="B1568" s="1085" t="str">
        <f t="shared" si="24"/>
        <v>Indian Rupee</v>
      </c>
      <c r="C1568" s="1070" t="s">
        <v>3666</v>
      </c>
      <c r="D1568" s="822"/>
      <c r="E1568" s="822"/>
      <c r="F1568" s="822"/>
      <c r="G1568" s="822"/>
      <c r="H1568" s="822"/>
    </row>
    <row r="1569" spans="1:8" x14ac:dyDescent="0.2">
      <c r="A1569" s="820">
        <v>1565</v>
      </c>
      <c r="B1569" s="1085" t="str">
        <f t="shared" si="24"/>
        <v>Egypt</v>
      </c>
      <c r="C1569" s="1070" t="s">
        <v>3126</v>
      </c>
      <c r="D1569" s="822"/>
      <c r="E1569" s="822"/>
      <c r="F1569" s="822"/>
      <c r="G1569" s="822"/>
      <c r="H1569" s="822"/>
    </row>
    <row r="1570" spans="1:8" x14ac:dyDescent="0.2">
      <c r="A1570" s="820">
        <v>1566</v>
      </c>
      <c r="B1570" s="1085" t="str">
        <f t="shared" si="24"/>
        <v>Iraqi Dinar</v>
      </c>
      <c r="C1570" s="1070" t="s">
        <v>3668</v>
      </c>
      <c r="D1570" s="822"/>
      <c r="E1570" s="822"/>
      <c r="F1570" s="822"/>
      <c r="G1570" s="822"/>
      <c r="H1570" s="822"/>
    </row>
    <row r="1571" spans="1:8" x14ac:dyDescent="0.2">
      <c r="A1571" s="820">
        <v>1567</v>
      </c>
      <c r="B1571" s="1085" t="str">
        <f t="shared" si="24"/>
        <v>Western Sahara</v>
      </c>
      <c r="C1571" s="1070" t="s">
        <v>3127</v>
      </c>
      <c r="D1571" s="822"/>
      <c r="E1571" s="822"/>
      <c r="F1571" s="822"/>
      <c r="G1571" s="822"/>
      <c r="H1571" s="822"/>
    </row>
    <row r="1572" spans="1:8" x14ac:dyDescent="0.2">
      <c r="A1572" s="820">
        <v>1568</v>
      </c>
      <c r="B1572" s="1085" t="str">
        <f t="shared" si="24"/>
        <v>Iranian Rial</v>
      </c>
      <c r="C1572" s="1070" t="s">
        <v>3670</v>
      </c>
      <c r="D1572" s="822"/>
      <c r="E1572" s="822"/>
      <c r="F1572" s="822"/>
      <c r="G1572" s="822"/>
      <c r="H1572" s="822"/>
    </row>
    <row r="1573" spans="1:8" x14ac:dyDescent="0.2">
      <c r="A1573" s="820">
        <v>1569</v>
      </c>
      <c r="B1573" s="1085" t="str">
        <f t="shared" si="24"/>
        <v>Eritrea</v>
      </c>
      <c r="C1573" s="1070" t="s">
        <v>3128</v>
      </c>
      <c r="D1573" s="822"/>
      <c r="E1573" s="822"/>
      <c r="F1573" s="822"/>
      <c r="G1573" s="822"/>
      <c r="H1573" s="822"/>
    </row>
    <row r="1574" spans="1:8" x14ac:dyDescent="0.2">
      <c r="A1574" s="820">
        <v>1570</v>
      </c>
      <c r="B1574" s="1085" t="str">
        <f t="shared" si="24"/>
        <v>Iceland Krona</v>
      </c>
      <c r="C1574" s="1070" t="s">
        <v>3672</v>
      </c>
      <c r="D1574" s="822"/>
      <c r="E1574" s="822"/>
      <c r="F1574" s="822"/>
      <c r="G1574" s="822"/>
      <c r="H1574" s="822"/>
    </row>
    <row r="1575" spans="1:8" x14ac:dyDescent="0.2">
      <c r="A1575" s="820">
        <v>1571</v>
      </c>
      <c r="B1575" s="1085" t="str">
        <f t="shared" si="24"/>
        <v>Jamaican Dollar</v>
      </c>
      <c r="C1575" s="1070" t="s">
        <v>3674</v>
      </c>
      <c r="D1575" s="822"/>
      <c r="E1575" s="822"/>
      <c r="F1575" s="822"/>
      <c r="G1575" s="822"/>
      <c r="H1575" s="822"/>
    </row>
    <row r="1576" spans="1:8" x14ac:dyDescent="0.2">
      <c r="A1576" s="820">
        <v>1572</v>
      </c>
      <c r="B1576" s="1085" t="str">
        <f t="shared" si="24"/>
        <v>Ethiopia</v>
      </c>
      <c r="C1576" s="1070" t="s">
        <v>3129</v>
      </c>
      <c r="D1576" s="822"/>
      <c r="E1576" s="822"/>
      <c r="F1576" s="822"/>
      <c r="G1576" s="822"/>
      <c r="H1576" s="822"/>
    </row>
    <row r="1577" spans="1:8" x14ac:dyDescent="0.2">
      <c r="A1577" s="820">
        <v>1573</v>
      </c>
      <c r="B1577" s="1085" t="str">
        <f t="shared" si="24"/>
        <v>Jordanian Dinar</v>
      </c>
      <c r="C1577" s="1070" t="s">
        <v>3676</v>
      </c>
      <c r="D1577" s="822"/>
      <c r="E1577" s="822"/>
      <c r="F1577" s="822"/>
      <c r="G1577" s="822"/>
      <c r="H1577" s="822"/>
    </row>
    <row r="1578" spans="1:8" x14ac:dyDescent="0.2">
      <c r="A1578" s="820">
        <v>1574</v>
      </c>
      <c r="B1578" s="1085" t="str">
        <f t="shared" si="24"/>
        <v>European Community</v>
      </c>
      <c r="C1578" s="1070" t="s">
        <v>3130</v>
      </c>
      <c r="D1578" s="822"/>
      <c r="E1578" s="822"/>
      <c r="F1578" s="822"/>
      <c r="G1578" s="822"/>
      <c r="H1578" s="822"/>
    </row>
    <row r="1579" spans="1:8" x14ac:dyDescent="0.2">
      <c r="A1579" s="820">
        <v>1575</v>
      </c>
      <c r="B1579" s="1085" t="str">
        <f t="shared" si="24"/>
        <v>Yen</v>
      </c>
      <c r="C1579" s="1070" t="s">
        <v>3678</v>
      </c>
      <c r="D1579" s="822"/>
      <c r="E1579" s="822"/>
      <c r="F1579" s="822"/>
      <c r="G1579" s="822"/>
      <c r="H1579" s="822"/>
    </row>
    <row r="1580" spans="1:8" x14ac:dyDescent="0.2">
      <c r="A1580" s="820">
        <v>1576</v>
      </c>
      <c r="B1580" s="1085" t="str">
        <f t="shared" si="24"/>
        <v>Kenyan Shilling</v>
      </c>
      <c r="C1580" s="1070" t="s">
        <v>3680</v>
      </c>
      <c r="D1580" s="822"/>
      <c r="E1580" s="822"/>
      <c r="F1580" s="822"/>
      <c r="G1580" s="822"/>
      <c r="H1580" s="822"/>
    </row>
    <row r="1581" spans="1:8" x14ac:dyDescent="0.2">
      <c r="A1581" s="820">
        <v>1577</v>
      </c>
      <c r="B1581" s="1085" t="str">
        <f t="shared" si="24"/>
        <v>Fiji</v>
      </c>
      <c r="C1581" s="1070" t="s">
        <v>3131</v>
      </c>
      <c r="D1581" s="822"/>
      <c r="E1581" s="822"/>
      <c r="F1581" s="822"/>
      <c r="G1581" s="822"/>
      <c r="H1581" s="822"/>
    </row>
    <row r="1582" spans="1:8" x14ac:dyDescent="0.2">
      <c r="A1582" s="820">
        <v>1578</v>
      </c>
      <c r="B1582" s="1085" t="str">
        <f t="shared" si="24"/>
        <v>Som</v>
      </c>
      <c r="C1582" s="1070" t="s">
        <v>3682</v>
      </c>
      <c r="D1582" s="822"/>
      <c r="E1582" s="822"/>
      <c r="F1582" s="822"/>
      <c r="G1582" s="822"/>
      <c r="H1582" s="822"/>
    </row>
    <row r="1583" spans="1:8" x14ac:dyDescent="0.2">
      <c r="A1583" s="820">
        <v>1579</v>
      </c>
      <c r="B1583" s="1085" t="str">
        <f t="shared" si="24"/>
        <v>Falkland Islands</v>
      </c>
      <c r="C1583" s="1070" t="s">
        <v>3132</v>
      </c>
      <c r="D1583" s="822"/>
      <c r="E1583" s="822"/>
      <c r="F1583" s="822"/>
      <c r="G1583" s="822"/>
      <c r="H1583" s="822"/>
    </row>
    <row r="1584" spans="1:8" x14ac:dyDescent="0.2">
      <c r="A1584" s="820">
        <v>1580</v>
      </c>
      <c r="B1584" s="1085" t="str">
        <f t="shared" si="24"/>
        <v>Riel</v>
      </c>
      <c r="C1584" s="1070" t="s">
        <v>3684</v>
      </c>
      <c r="D1584" s="822"/>
      <c r="E1584" s="822"/>
      <c r="F1584" s="822"/>
      <c r="G1584" s="822"/>
      <c r="H1584" s="822"/>
    </row>
    <row r="1585" spans="1:8" x14ac:dyDescent="0.2">
      <c r="A1585" s="820">
        <v>1581</v>
      </c>
      <c r="B1585" s="1085" t="str">
        <f t="shared" si="24"/>
        <v>Micronesia, Federated States of</v>
      </c>
      <c r="C1585" s="1070" t="s">
        <v>3133</v>
      </c>
      <c r="D1585" s="822"/>
      <c r="E1585" s="822"/>
      <c r="F1585" s="822"/>
      <c r="G1585" s="822"/>
      <c r="H1585" s="822"/>
    </row>
    <row r="1586" spans="1:8" x14ac:dyDescent="0.2">
      <c r="A1586" s="820">
        <v>1582</v>
      </c>
      <c r="B1586" s="1085" t="str">
        <f t="shared" si="24"/>
        <v>Comorian Franc</v>
      </c>
      <c r="C1586" s="1070" t="s">
        <v>3686</v>
      </c>
      <c r="D1586" s="822"/>
      <c r="E1586" s="822"/>
      <c r="F1586" s="822"/>
      <c r="G1586" s="822"/>
      <c r="H1586" s="822"/>
    </row>
    <row r="1587" spans="1:8" x14ac:dyDescent="0.2">
      <c r="A1587" s="820">
        <v>1583</v>
      </c>
      <c r="B1587" s="1085" t="str">
        <f t="shared" si="24"/>
        <v>Faroe Islands</v>
      </c>
      <c r="C1587" s="1070" t="s">
        <v>3134</v>
      </c>
      <c r="D1587" s="822"/>
      <c r="E1587" s="822"/>
      <c r="F1587" s="822"/>
      <c r="G1587" s="822"/>
      <c r="H1587" s="822"/>
    </row>
    <row r="1588" spans="1:8" x14ac:dyDescent="0.2">
      <c r="A1588" s="820">
        <v>1584</v>
      </c>
      <c r="B1588" s="1085" t="str">
        <f t="shared" si="24"/>
        <v>North Korean Won</v>
      </c>
      <c r="C1588" s="1070" t="s">
        <v>3688</v>
      </c>
      <c r="D1588" s="822"/>
      <c r="E1588" s="822"/>
      <c r="F1588" s="822"/>
      <c r="G1588" s="822"/>
      <c r="H1588" s="822"/>
    </row>
    <row r="1589" spans="1:8" x14ac:dyDescent="0.2">
      <c r="A1589" s="820">
        <v>1585</v>
      </c>
      <c r="B1589" s="1085" t="str">
        <f t="shared" si="24"/>
        <v>Won</v>
      </c>
      <c r="C1589" s="1070" t="s">
        <v>3690</v>
      </c>
      <c r="D1589" s="822"/>
      <c r="E1589" s="822"/>
      <c r="F1589" s="822"/>
      <c r="G1589" s="822"/>
      <c r="H1589" s="822"/>
    </row>
    <row r="1590" spans="1:8" x14ac:dyDescent="0.2">
      <c r="A1590" s="820">
        <v>1586</v>
      </c>
      <c r="B1590" s="1085" t="str">
        <f t="shared" si="24"/>
        <v>Gabon</v>
      </c>
      <c r="C1590" s="1070" t="s">
        <v>3135</v>
      </c>
      <c r="D1590" s="822"/>
      <c r="E1590" s="822"/>
      <c r="F1590" s="822"/>
      <c r="G1590" s="822"/>
      <c r="H1590" s="822"/>
    </row>
    <row r="1591" spans="1:8" x14ac:dyDescent="0.2">
      <c r="A1591" s="820">
        <v>1587</v>
      </c>
      <c r="B1591" s="1085" t="str">
        <f t="shared" si="24"/>
        <v>Kuwaiti Dinar</v>
      </c>
      <c r="C1591" s="1070" t="s">
        <v>3692</v>
      </c>
      <c r="D1591" s="822"/>
      <c r="E1591" s="822"/>
      <c r="F1591" s="822"/>
      <c r="G1591" s="822"/>
      <c r="H1591" s="822"/>
    </row>
    <row r="1592" spans="1:8" x14ac:dyDescent="0.2">
      <c r="A1592" s="820">
        <v>1588</v>
      </c>
      <c r="B1592" s="1085" t="str">
        <f t="shared" si="24"/>
        <v>Cayman Islands Dollar</v>
      </c>
      <c r="C1592" s="1070" t="s">
        <v>3694</v>
      </c>
      <c r="D1592" s="822"/>
      <c r="E1592" s="822"/>
      <c r="F1592" s="822"/>
      <c r="G1592" s="822"/>
      <c r="H1592" s="822"/>
    </row>
    <row r="1593" spans="1:8" x14ac:dyDescent="0.2">
      <c r="A1593" s="820">
        <v>1589</v>
      </c>
      <c r="B1593" s="1085" t="str">
        <f t="shared" si="24"/>
        <v>Grenada</v>
      </c>
      <c r="C1593" s="1070" t="s">
        <v>3136</v>
      </c>
      <c r="D1593" s="822"/>
      <c r="E1593" s="822"/>
      <c r="F1593" s="822"/>
      <c r="G1593" s="822"/>
      <c r="H1593" s="822"/>
    </row>
    <row r="1594" spans="1:8" x14ac:dyDescent="0.2">
      <c r="A1594" s="820">
        <v>1590</v>
      </c>
      <c r="B1594" s="1085" t="str">
        <f t="shared" si="24"/>
        <v>Tenge</v>
      </c>
      <c r="C1594" s="1070" t="s">
        <v>3696</v>
      </c>
      <c r="D1594" s="822"/>
      <c r="E1594" s="822"/>
      <c r="F1594" s="822"/>
      <c r="G1594" s="822"/>
      <c r="H1594" s="822"/>
    </row>
    <row r="1595" spans="1:8" x14ac:dyDescent="0.2">
      <c r="A1595" s="820">
        <v>1591</v>
      </c>
      <c r="B1595" s="1085" t="str">
        <f t="shared" si="24"/>
        <v>Georgia</v>
      </c>
      <c r="C1595" s="1070" t="s">
        <v>3137</v>
      </c>
      <c r="D1595" s="822"/>
      <c r="E1595" s="822"/>
      <c r="F1595" s="822"/>
      <c r="G1595" s="822"/>
      <c r="H1595" s="822"/>
    </row>
    <row r="1596" spans="1:8" x14ac:dyDescent="0.2">
      <c r="A1596" s="820">
        <v>1592</v>
      </c>
      <c r="B1596" s="1085" t="str">
        <f t="shared" si="24"/>
        <v>Lao Kip</v>
      </c>
      <c r="C1596" s="1070" t="s">
        <v>3698</v>
      </c>
      <c r="D1596" s="822"/>
      <c r="E1596" s="822"/>
      <c r="F1596" s="822"/>
      <c r="G1596" s="822"/>
      <c r="H1596" s="822"/>
    </row>
    <row r="1597" spans="1:8" x14ac:dyDescent="0.2">
      <c r="A1597" s="820">
        <v>1593</v>
      </c>
      <c r="B1597" s="1085" t="str">
        <f t="shared" si="24"/>
        <v>French Guyana</v>
      </c>
      <c r="C1597" s="1070" t="s">
        <v>3138</v>
      </c>
      <c r="D1597" s="822"/>
      <c r="E1597" s="822"/>
      <c r="F1597" s="822"/>
      <c r="G1597" s="822"/>
      <c r="H1597" s="822"/>
    </row>
    <row r="1598" spans="1:8" x14ac:dyDescent="0.2">
      <c r="A1598" s="820">
        <v>1594</v>
      </c>
      <c r="B1598" s="1085" t="str">
        <f t="shared" si="24"/>
        <v>Lebanese Pound</v>
      </c>
      <c r="C1598" s="1070" t="s">
        <v>3700</v>
      </c>
      <c r="D1598" s="822"/>
      <c r="E1598" s="822"/>
      <c r="F1598" s="822"/>
      <c r="G1598" s="822"/>
      <c r="H1598" s="822"/>
    </row>
    <row r="1599" spans="1:8" x14ac:dyDescent="0.2">
      <c r="A1599" s="820">
        <v>1595</v>
      </c>
      <c r="B1599" s="1085" t="str">
        <f t="shared" si="24"/>
        <v>Guernsey</v>
      </c>
      <c r="C1599" s="1070" t="s">
        <v>3139</v>
      </c>
      <c r="D1599" s="822"/>
      <c r="E1599" s="822"/>
      <c r="F1599" s="822"/>
      <c r="G1599" s="822"/>
      <c r="H1599" s="822"/>
    </row>
    <row r="1600" spans="1:8" x14ac:dyDescent="0.2">
      <c r="A1600" s="820">
        <v>1596</v>
      </c>
      <c r="B1600" s="1085" t="str">
        <f t="shared" si="24"/>
        <v>Sri Lanka Rupee</v>
      </c>
      <c r="C1600" s="1070" t="s">
        <v>3702</v>
      </c>
      <c r="D1600" s="822"/>
      <c r="E1600" s="822"/>
      <c r="F1600" s="822"/>
      <c r="G1600" s="822"/>
      <c r="H1600" s="822"/>
    </row>
    <row r="1601" spans="1:8" x14ac:dyDescent="0.2">
      <c r="A1601" s="820">
        <v>1597</v>
      </c>
      <c r="B1601" s="1085" t="str">
        <f t="shared" si="24"/>
        <v>Ghana</v>
      </c>
      <c r="C1601" s="1070" t="s">
        <v>3140</v>
      </c>
      <c r="D1601" s="822"/>
      <c r="E1601" s="822"/>
      <c r="F1601" s="822"/>
      <c r="G1601" s="822"/>
      <c r="H1601" s="822"/>
    </row>
    <row r="1602" spans="1:8" x14ac:dyDescent="0.2">
      <c r="A1602" s="820">
        <v>1598</v>
      </c>
      <c r="B1602" s="1085" t="str">
        <f t="shared" si="24"/>
        <v>Liberian Dollar</v>
      </c>
      <c r="C1602" s="1070" t="s">
        <v>3704</v>
      </c>
      <c r="D1602" s="822"/>
      <c r="E1602" s="822"/>
      <c r="F1602" s="822"/>
      <c r="G1602" s="822"/>
      <c r="H1602" s="822"/>
    </row>
    <row r="1603" spans="1:8" x14ac:dyDescent="0.2">
      <c r="A1603" s="820">
        <v>1599</v>
      </c>
      <c r="B1603" s="1085" t="str">
        <f t="shared" si="24"/>
        <v>Gibraltar</v>
      </c>
      <c r="C1603" s="1070" t="s">
        <v>3141</v>
      </c>
      <c r="D1603" s="822"/>
      <c r="E1603" s="822"/>
      <c r="F1603" s="822"/>
      <c r="G1603" s="822"/>
      <c r="H1603" s="822"/>
    </row>
    <row r="1604" spans="1:8" x14ac:dyDescent="0.2">
      <c r="A1604" s="820">
        <v>1600</v>
      </c>
      <c r="B1604" s="1085" t="str">
        <f t="shared" si="24"/>
        <v>Loti</v>
      </c>
      <c r="C1604" s="1070" t="s">
        <v>3706</v>
      </c>
      <c r="D1604" s="822"/>
      <c r="E1604" s="822"/>
      <c r="F1604" s="822"/>
      <c r="G1604" s="822"/>
      <c r="H1604" s="822"/>
    </row>
    <row r="1605" spans="1:8" x14ac:dyDescent="0.2">
      <c r="A1605" s="820">
        <v>1601</v>
      </c>
      <c r="B1605" s="1085" t="str">
        <f t="shared" si="24"/>
        <v>Greenland</v>
      </c>
      <c r="C1605" s="1070" t="s">
        <v>3142</v>
      </c>
      <c r="D1605" s="822"/>
      <c r="E1605" s="822"/>
      <c r="F1605" s="822"/>
      <c r="G1605" s="822"/>
      <c r="H1605" s="822"/>
    </row>
    <row r="1606" spans="1:8" x14ac:dyDescent="0.2">
      <c r="A1606" s="820">
        <v>1602</v>
      </c>
      <c r="B1606" s="1085" t="str">
        <f t="shared" ref="B1606:B1669" si="25">IFERROR(INDEX(C1606:M1606,$A$3-2),$C1606)</f>
        <v>Libyan Dinar</v>
      </c>
      <c r="C1606" s="1070" t="s">
        <v>3708</v>
      </c>
      <c r="D1606" s="822"/>
      <c r="E1606" s="822"/>
      <c r="F1606" s="822"/>
      <c r="G1606" s="822"/>
      <c r="H1606" s="822"/>
    </row>
    <row r="1607" spans="1:8" x14ac:dyDescent="0.2">
      <c r="A1607" s="820">
        <v>1603</v>
      </c>
      <c r="B1607" s="1085" t="str">
        <f t="shared" si="25"/>
        <v>Gambia</v>
      </c>
      <c r="C1607" s="1070" t="s">
        <v>3143</v>
      </c>
      <c r="D1607" s="822"/>
      <c r="E1607" s="822"/>
      <c r="F1607" s="822"/>
      <c r="G1607" s="822"/>
      <c r="H1607" s="822"/>
    </row>
    <row r="1608" spans="1:8" x14ac:dyDescent="0.2">
      <c r="A1608" s="820">
        <v>1604</v>
      </c>
      <c r="B1608" s="1085" t="str">
        <f t="shared" si="25"/>
        <v>Moroccan Dirham</v>
      </c>
      <c r="C1608" s="1070" t="s">
        <v>3710</v>
      </c>
      <c r="D1608" s="822"/>
      <c r="E1608" s="822"/>
      <c r="F1608" s="822"/>
      <c r="G1608" s="822"/>
      <c r="H1608" s="822"/>
    </row>
    <row r="1609" spans="1:8" x14ac:dyDescent="0.2">
      <c r="A1609" s="820">
        <v>1605</v>
      </c>
      <c r="B1609" s="1085" t="str">
        <f t="shared" si="25"/>
        <v>Guinea</v>
      </c>
      <c r="C1609" s="1070" t="s">
        <v>3144</v>
      </c>
      <c r="D1609" s="822"/>
      <c r="E1609" s="822"/>
      <c r="F1609" s="822"/>
      <c r="G1609" s="822"/>
      <c r="H1609" s="822"/>
    </row>
    <row r="1610" spans="1:8" x14ac:dyDescent="0.2">
      <c r="A1610" s="820">
        <v>1606</v>
      </c>
      <c r="B1610" s="1085" t="str">
        <f t="shared" si="25"/>
        <v>Moldovan Leu</v>
      </c>
      <c r="C1610" s="1070" t="s">
        <v>3712</v>
      </c>
      <c r="D1610" s="822"/>
      <c r="E1610" s="822"/>
      <c r="F1610" s="822"/>
      <c r="G1610" s="822"/>
      <c r="H1610" s="822"/>
    </row>
    <row r="1611" spans="1:8" x14ac:dyDescent="0.2">
      <c r="A1611" s="820">
        <v>1607</v>
      </c>
      <c r="B1611" s="1085" t="str">
        <f t="shared" si="25"/>
        <v>Guadeloupe</v>
      </c>
      <c r="C1611" s="1070" t="s">
        <v>3145</v>
      </c>
      <c r="D1611" s="822"/>
      <c r="E1611" s="822"/>
      <c r="F1611" s="822"/>
      <c r="G1611" s="822"/>
      <c r="H1611" s="822"/>
    </row>
    <row r="1612" spans="1:8" x14ac:dyDescent="0.2">
      <c r="A1612" s="820">
        <v>1608</v>
      </c>
      <c r="B1612" s="1085" t="str">
        <f t="shared" si="25"/>
        <v>Malagasy Ariary</v>
      </c>
      <c r="C1612" s="1070" t="s">
        <v>3714</v>
      </c>
      <c r="D1612" s="822"/>
      <c r="E1612" s="822"/>
      <c r="F1612" s="822"/>
      <c r="G1612" s="822"/>
      <c r="H1612" s="822"/>
    </row>
    <row r="1613" spans="1:8" x14ac:dyDescent="0.2">
      <c r="A1613" s="820">
        <v>1609</v>
      </c>
      <c r="B1613" s="1085" t="str">
        <f t="shared" si="25"/>
        <v>Equatorial Guinea</v>
      </c>
      <c r="C1613" s="1070" t="s">
        <v>3146</v>
      </c>
      <c r="D1613" s="822"/>
      <c r="E1613" s="822"/>
      <c r="F1613" s="822"/>
      <c r="G1613" s="822"/>
      <c r="H1613" s="822"/>
    </row>
    <row r="1614" spans="1:8" x14ac:dyDescent="0.2">
      <c r="A1614" s="820">
        <v>1610</v>
      </c>
      <c r="B1614" s="1085" t="str">
        <f t="shared" si="25"/>
        <v>Denar</v>
      </c>
      <c r="C1614" s="1070" t="s">
        <v>3716</v>
      </c>
      <c r="D1614" s="822"/>
      <c r="E1614" s="822"/>
      <c r="F1614" s="822"/>
      <c r="G1614" s="822"/>
      <c r="H1614" s="822"/>
    </row>
    <row r="1615" spans="1:8" x14ac:dyDescent="0.2">
      <c r="A1615" s="820">
        <v>1611</v>
      </c>
      <c r="B1615" s="1085" t="str">
        <f t="shared" si="25"/>
        <v>Kyat</v>
      </c>
      <c r="C1615" s="1070" t="s">
        <v>3718</v>
      </c>
      <c r="D1615" s="822"/>
      <c r="E1615" s="822"/>
      <c r="F1615" s="822"/>
      <c r="G1615" s="822"/>
      <c r="H1615" s="822"/>
    </row>
    <row r="1616" spans="1:8" x14ac:dyDescent="0.2">
      <c r="A1616" s="820">
        <v>1612</v>
      </c>
      <c r="B1616" s="1085" t="str">
        <f t="shared" si="25"/>
        <v>South Georgia and South Sandwich</v>
      </c>
      <c r="C1616" s="1070" t="s">
        <v>3147</v>
      </c>
      <c r="D1616" s="822"/>
      <c r="E1616" s="822"/>
      <c r="F1616" s="822"/>
      <c r="G1616" s="822"/>
      <c r="H1616" s="822"/>
    </row>
    <row r="1617" spans="1:8" x14ac:dyDescent="0.2">
      <c r="A1617" s="820">
        <v>1613</v>
      </c>
      <c r="B1617" s="1085" t="str">
        <f t="shared" si="25"/>
        <v>Tugrik</v>
      </c>
      <c r="C1617" s="1070" t="s">
        <v>3720</v>
      </c>
      <c r="D1617" s="822"/>
      <c r="E1617" s="822"/>
      <c r="F1617" s="822"/>
      <c r="G1617" s="822"/>
      <c r="H1617" s="822"/>
    </row>
    <row r="1618" spans="1:8" x14ac:dyDescent="0.2">
      <c r="A1618" s="820">
        <v>1614</v>
      </c>
      <c r="B1618" s="1085" t="str">
        <f t="shared" si="25"/>
        <v>Guatemala</v>
      </c>
      <c r="C1618" s="1070" t="s">
        <v>3148</v>
      </c>
      <c r="D1618" s="822"/>
      <c r="E1618" s="822"/>
      <c r="F1618" s="822"/>
      <c r="G1618" s="822"/>
      <c r="H1618" s="822"/>
    </row>
    <row r="1619" spans="1:8" x14ac:dyDescent="0.2">
      <c r="A1619" s="820">
        <v>1615</v>
      </c>
      <c r="B1619" s="1085" t="str">
        <f t="shared" si="25"/>
        <v>Pataca</v>
      </c>
      <c r="C1619" s="1070" t="s">
        <v>3722</v>
      </c>
      <c r="D1619" s="822"/>
      <c r="E1619" s="822"/>
      <c r="F1619" s="822"/>
      <c r="G1619" s="822"/>
      <c r="H1619" s="822"/>
    </row>
    <row r="1620" spans="1:8" x14ac:dyDescent="0.2">
      <c r="A1620" s="820">
        <v>1616</v>
      </c>
      <c r="B1620" s="1085" t="str">
        <f t="shared" si="25"/>
        <v>Guam</v>
      </c>
      <c r="C1620" s="1070" t="s">
        <v>3149</v>
      </c>
      <c r="D1620" s="822"/>
      <c r="E1620" s="822"/>
      <c r="F1620" s="822"/>
      <c r="G1620" s="822"/>
      <c r="H1620" s="822"/>
    </row>
    <row r="1621" spans="1:8" x14ac:dyDescent="0.2">
      <c r="A1621" s="820">
        <v>1617</v>
      </c>
      <c r="B1621" s="1085" t="str">
        <f t="shared" si="25"/>
        <v>Ouguiya</v>
      </c>
      <c r="C1621" s="1070" t="s">
        <v>3724</v>
      </c>
      <c r="D1621" s="822"/>
      <c r="E1621" s="822"/>
      <c r="F1621" s="822"/>
      <c r="G1621" s="822"/>
      <c r="H1621" s="822"/>
    </row>
    <row r="1622" spans="1:8" x14ac:dyDescent="0.2">
      <c r="A1622" s="820">
        <v>1618</v>
      </c>
      <c r="B1622" s="1085" t="str">
        <f t="shared" si="25"/>
        <v>Guinea-Bissau</v>
      </c>
      <c r="C1622" s="1070" t="s">
        <v>3150</v>
      </c>
      <c r="D1622" s="822"/>
      <c r="E1622" s="822"/>
      <c r="F1622" s="822"/>
      <c r="G1622" s="822"/>
      <c r="H1622" s="822"/>
    </row>
    <row r="1623" spans="1:8" x14ac:dyDescent="0.2">
      <c r="A1623" s="820">
        <v>1619</v>
      </c>
      <c r="B1623" s="1085" t="str">
        <f t="shared" si="25"/>
        <v>Mauritius Rupee</v>
      </c>
      <c r="C1623" s="1070" t="s">
        <v>3726</v>
      </c>
      <c r="D1623" s="822"/>
      <c r="E1623" s="822"/>
      <c r="F1623" s="822"/>
      <c r="G1623" s="822"/>
      <c r="H1623" s="822"/>
    </row>
    <row r="1624" spans="1:8" x14ac:dyDescent="0.2">
      <c r="A1624" s="820">
        <v>1620</v>
      </c>
      <c r="B1624" s="1085" t="str">
        <f t="shared" si="25"/>
        <v>Guyana</v>
      </c>
      <c r="C1624" s="1070" t="s">
        <v>3151</v>
      </c>
      <c r="D1624" s="822"/>
      <c r="E1624" s="822"/>
      <c r="F1624" s="822"/>
      <c r="G1624" s="822"/>
      <c r="H1624" s="822"/>
    </row>
    <row r="1625" spans="1:8" x14ac:dyDescent="0.2">
      <c r="A1625" s="820">
        <v>1621</v>
      </c>
      <c r="B1625" s="1085" t="str">
        <f t="shared" si="25"/>
        <v>Rufiyaa</v>
      </c>
      <c r="C1625" s="1070" t="s">
        <v>3728</v>
      </c>
      <c r="D1625" s="822"/>
      <c r="E1625" s="822"/>
      <c r="F1625" s="822"/>
      <c r="G1625" s="822"/>
      <c r="H1625" s="822"/>
    </row>
    <row r="1626" spans="1:8" x14ac:dyDescent="0.2">
      <c r="A1626" s="820">
        <v>1622</v>
      </c>
      <c r="B1626" s="1085" t="str">
        <f t="shared" si="25"/>
        <v>Hong Kong</v>
      </c>
      <c r="C1626" s="1070" t="s">
        <v>3152</v>
      </c>
      <c r="D1626" s="822"/>
      <c r="E1626" s="822"/>
      <c r="F1626" s="822"/>
      <c r="G1626" s="822"/>
      <c r="H1626" s="822"/>
    </row>
    <row r="1627" spans="1:8" x14ac:dyDescent="0.2">
      <c r="A1627" s="820">
        <v>1623</v>
      </c>
      <c r="B1627" s="1085" t="str">
        <f t="shared" si="25"/>
        <v>Malawi Kwacha</v>
      </c>
      <c r="C1627" s="1070" t="s">
        <v>3730</v>
      </c>
      <c r="D1627" s="822"/>
      <c r="E1627" s="822"/>
      <c r="F1627" s="822"/>
      <c r="G1627" s="822"/>
      <c r="H1627" s="822"/>
    </row>
    <row r="1628" spans="1:8" x14ac:dyDescent="0.2">
      <c r="A1628" s="820">
        <v>1624</v>
      </c>
      <c r="B1628" s="1085" t="str">
        <f t="shared" si="25"/>
        <v>Heard Island and McDonald Islands</v>
      </c>
      <c r="C1628" s="1070" t="s">
        <v>3153</v>
      </c>
      <c r="D1628" s="822"/>
      <c r="E1628" s="822"/>
      <c r="F1628" s="822"/>
      <c r="G1628" s="822"/>
      <c r="H1628" s="822"/>
    </row>
    <row r="1629" spans="1:8" x14ac:dyDescent="0.2">
      <c r="A1629" s="820">
        <v>1625</v>
      </c>
      <c r="B1629" s="1085" t="str">
        <f t="shared" si="25"/>
        <v>Mexican Peso</v>
      </c>
      <c r="C1629" s="1070" t="s">
        <v>3732</v>
      </c>
      <c r="D1629" s="822"/>
      <c r="E1629" s="822"/>
      <c r="F1629" s="822"/>
      <c r="G1629" s="822"/>
      <c r="H1629" s="822"/>
    </row>
    <row r="1630" spans="1:8" x14ac:dyDescent="0.2">
      <c r="A1630" s="820">
        <v>1626</v>
      </c>
      <c r="B1630" s="1085" t="str">
        <f t="shared" si="25"/>
        <v>Honduras</v>
      </c>
      <c r="C1630" s="1070" t="s">
        <v>3154</v>
      </c>
      <c r="D1630" s="822"/>
      <c r="E1630" s="822"/>
      <c r="F1630" s="822"/>
      <c r="G1630" s="822"/>
      <c r="H1630" s="822"/>
    </row>
    <row r="1631" spans="1:8" x14ac:dyDescent="0.2">
      <c r="A1631" s="820">
        <v>1627</v>
      </c>
      <c r="B1631" s="1085" t="str">
        <f t="shared" si="25"/>
        <v>Mexican Unidad de Inversion (UDI)</v>
      </c>
      <c r="C1631" s="1070" t="s">
        <v>3734</v>
      </c>
      <c r="D1631" s="822"/>
      <c r="E1631" s="822"/>
      <c r="F1631" s="822"/>
      <c r="G1631" s="822"/>
      <c r="H1631" s="822"/>
    </row>
    <row r="1632" spans="1:8" x14ac:dyDescent="0.2">
      <c r="A1632" s="820">
        <v>1628</v>
      </c>
      <c r="B1632" s="1085" t="str">
        <f t="shared" si="25"/>
        <v>Malaysian Ringgit</v>
      </c>
      <c r="C1632" s="1070" t="s">
        <v>3736</v>
      </c>
      <c r="D1632" s="822"/>
      <c r="E1632" s="822"/>
      <c r="F1632" s="822"/>
      <c r="G1632" s="822"/>
      <c r="H1632" s="822"/>
    </row>
    <row r="1633" spans="1:8" x14ac:dyDescent="0.2">
      <c r="A1633" s="820">
        <v>1629</v>
      </c>
      <c r="B1633" s="1085" t="str">
        <f t="shared" si="25"/>
        <v>Haiti</v>
      </c>
      <c r="C1633" s="1070" t="s">
        <v>3155</v>
      </c>
      <c r="D1633" s="822"/>
      <c r="E1633" s="822"/>
      <c r="F1633" s="822"/>
      <c r="G1633" s="822"/>
      <c r="H1633" s="822"/>
    </row>
    <row r="1634" spans="1:8" x14ac:dyDescent="0.2">
      <c r="A1634" s="820">
        <v>1630</v>
      </c>
      <c r="B1634" s="1085" t="str">
        <f t="shared" si="25"/>
        <v>Mozambique Metical</v>
      </c>
      <c r="C1634" s="1070" t="s">
        <v>3738</v>
      </c>
      <c r="D1634" s="822"/>
      <c r="E1634" s="822"/>
      <c r="F1634" s="822"/>
      <c r="G1634" s="822"/>
      <c r="H1634" s="822"/>
    </row>
    <row r="1635" spans="1:8" x14ac:dyDescent="0.2">
      <c r="A1635" s="820">
        <v>1631</v>
      </c>
      <c r="B1635" s="1085" t="str">
        <f t="shared" si="25"/>
        <v>Namibia Dollar</v>
      </c>
      <c r="C1635" s="1070" t="s">
        <v>3740</v>
      </c>
      <c r="D1635" s="822"/>
      <c r="E1635" s="822"/>
      <c r="F1635" s="822"/>
      <c r="G1635" s="822"/>
      <c r="H1635" s="822"/>
    </row>
    <row r="1636" spans="1:8" x14ac:dyDescent="0.2">
      <c r="A1636" s="820">
        <v>1632</v>
      </c>
      <c r="B1636" s="1085" t="str">
        <f t="shared" si="25"/>
        <v>Indonesia</v>
      </c>
      <c r="C1636" s="1070" t="s">
        <v>3156</v>
      </c>
      <c r="D1636" s="822"/>
      <c r="E1636" s="822"/>
      <c r="F1636" s="822"/>
      <c r="G1636" s="822"/>
      <c r="H1636" s="822"/>
    </row>
    <row r="1637" spans="1:8" x14ac:dyDescent="0.2">
      <c r="A1637" s="820">
        <v>1633</v>
      </c>
      <c r="B1637" s="1085" t="str">
        <f t="shared" si="25"/>
        <v>Naira</v>
      </c>
      <c r="C1637" s="1070" t="s">
        <v>3742</v>
      </c>
      <c r="D1637" s="822"/>
      <c r="E1637" s="822"/>
      <c r="F1637" s="822"/>
      <c r="G1637" s="822"/>
      <c r="H1637" s="822"/>
    </row>
    <row r="1638" spans="1:8" x14ac:dyDescent="0.2">
      <c r="A1638" s="820">
        <v>1634</v>
      </c>
      <c r="B1638" s="1085" t="str">
        <f t="shared" si="25"/>
        <v>Cordoba Oro</v>
      </c>
      <c r="C1638" s="1070" t="s">
        <v>3744</v>
      </c>
      <c r="D1638" s="822"/>
      <c r="E1638" s="822"/>
      <c r="F1638" s="822"/>
      <c r="G1638" s="822"/>
      <c r="H1638" s="822"/>
    </row>
    <row r="1639" spans="1:8" x14ac:dyDescent="0.2">
      <c r="A1639" s="820">
        <v>1635</v>
      </c>
      <c r="B1639" s="1085" t="str">
        <f t="shared" si="25"/>
        <v>Israel</v>
      </c>
      <c r="C1639" s="1070" t="s">
        <v>3157</v>
      </c>
      <c r="D1639" s="822"/>
      <c r="E1639" s="822"/>
      <c r="F1639" s="822"/>
      <c r="G1639" s="822"/>
      <c r="H1639" s="822"/>
    </row>
    <row r="1640" spans="1:8" x14ac:dyDescent="0.2">
      <c r="A1640" s="820">
        <v>1636</v>
      </c>
      <c r="B1640" s="1085" t="str">
        <f t="shared" si="25"/>
        <v>Norwegian Krone</v>
      </c>
      <c r="C1640" s="1070" t="s">
        <v>3746</v>
      </c>
      <c r="D1640" s="822"/>
      <c r="E1640" s="822"/>
      <c r="F1640" s="822"/>
      <c r="G1640" s="822"/>
      <c r="H1640" s="822"/>
    </row>
    <row r="1641" spans="1:8" x14ac:dyDescent="0.2">
      <c r="A1641" s="820">
        <v>1637</v>
      </c>
      <c r="B1641" s="1085" t="str">
        <f t="shared" si="25"/>
        <v>Isle of Man</v>
      </c>
      <c r="C1641" s="1070" t="s">
        <v>3158</v>
      </c>
      <c r="D1641" s="822"/>
      <c r="E1641" s="822"/>
      <c r="F1641" s="822"/>
      <c r="G1641" s="822"/>
      <c r="H1641" s="822"/>
    </row>
    <row r="1642" spans="1:8" x14ac:dyDescent="0.2">
      <c r="A1642" s="820">
        <v>1638</v>
      </c>
      <c r="B1642" s="1085" t="str">
        <f t="shared" si="25"/>
        <v>Nepalese Rupee</v>
      </c>
      <c r="C1642" s="1070" t="s">
        <v>3748</v>
      </c>
      <c r="D1642" s="822"/>
      <c r="E1642" s="822"/>
      <c r="F1642" s="822"/>
      <c r="G1642" s="822"/>
      <c r="H1642" s="822"/>
    </row>
    <row r="1643" spans="1:8" x14ac:dyDescent="0.2">
      <c r="A1643" s="820">
        <v>1639</v>
      </c>
      <c r="B1643" s="1085" t="str">
        <f t="shared" si="25"/>
        <v>India</v>
      </c>
      <c r="C1643" s="1070" t="s">
        <v>3159</v>
      </c>
      <c r="D1643" s="822"/>
      <c r="E1643" s="822"/>
      <c r="F1643" s="822"/>
      <c r="G1643" s="822"/>
      <c r="H1643" s="822"/>
    </row>
    <row r="1644" spans="1:8" x14ac:dyDescent="0.2">
      <c r="A1644" s="820">
        <v>1640</v>
      </c>
      <c r="B1644" s="1085" t="str">
        <f t="shared" si="25"/>
        <v>New Zealand Dollar</v>
      </c>
      <c r="C1644" s="1070" t="s">
        <v>3750</v>
      </c>
      <c r="D1644" s="822"/>
      <c r="E1644" s="822"/>
      <c r="F1644" s="822"/>
      <c r="G1644" s="822"/>
      <c r="H1644" s="822"/>
    </row>
    <row r="1645" spans="1:8" x14ac:dyDescent="0.2">
      <c r="A1645" s="820">
        <v>1641</v>
      </c>
      <c r="B1645" s="1085" t="str">
        <f t="shared" si="25"/>
        <v>British Indian Ocean Territory</v>
      </c>
      <c r="C1645" s="1070" t="s">
        <v>3160</v>
      </c>
      <c r="D1645" s="822"/>
      <c r="E1645" s="822"/>
      <c r="F1645" s="822"/>
      <c r="G1645" s="822"/>
      <c r="H1645" s="822"/>
    </row>
    <row r="1646" spans="1:8" x14ac:dyDescent="0.2">
      <c r="A1646" s="820">
        <v>1642</v>
      </c>
      <c r="B1646" s="1085" t="str">
        <f t="shared" si="25"/>
        <v>Rial Omani</v>
      </c>
      <c r="C1646" s="1070" t="s">
        <v>3752</v>
      </c>
      <c r="D1646" s="822"/>
      <c r="E1646" s="822"/>
      <c r="F1646" s="822"/>
      <c r="G1646" s="822"/>
      <c r="H1646" s="822"/>
    </row>
    <row r="1647" spans="1:8" x14ac:dyDescent="0.2">
      <c r="A1647" s="820">
        <v>1643</v>
      </c>
      <c r="B1647" s="1085" t="str">
        <f t="shared" si="25"/>
        <v>Iraq</v>
      </c>
      <c r="C1647" s="1070" t="s">
        <v>3161</v>
      </c>
      <c r="D1647" s="822"/>
      <c r="E1647" s="822"/>
      <c r="F1647" s="822"/>
      <c r="G1647" s="822"/>
      <c r="H1647" s="822"/>
    </row>
    <row r="1648" spans="1:8" x14ac:dyDescent="0.2">
      <c r="A1648" s="820">
        <v>1644</v>
      </c>
      <c r="B1648" s="1085" t="str">
        <f t="shared" si="25"/>
        <v>Balboa</v>
      </c>
      <c r="C1648" s="1070" t="s">
        <v>3754</v>
      </c>
      <c r="D1648" s="822"/>
      <c r="E1648" s="822"/>
      <c r="F1648" s="822"/>
      <c r="G1648" s="822"/>
      <c r="H1648" s="822"/>
    </row>
    <row r="1649" spans="1:8" x14ac:dyDescent="0.2">
      <c r="A1649" s="820">
        <v>1645</v>
      </c>
      <c r="B1649" s="1085" t="str">
        <f t="shared" si="25"/>
        <v>Iran, Islamic Republic of</v>
      </c>
      <c r="C1649" s="1070" t="s">
        <v>3162</v>
      </c>
      <c r="D1649" s="822"/>
      <c r="E1649" s="822"/>
      <c r="F1649" s="822"/>
      <c r="G1649" s="822"/>
      <c r="H1649" s="822"/>
    </row>
    <row r="1650" spans="1:8" x14ac:dyDescent="0.2">
      <c r="A1650" s="820">
        <v>1646</v>
      </c>
      <c r="B1650" s="1085" t="str">
        <f t="shared" si="25"/>
        <v>Sol</v>
      </c>
      <c r="C1650" s="1070" t="s">
        <v>3756</v>
      </c>
      <c r="D1650" s="822"/>
      <c r="E1650" s="822"/>
      <c r="F1650" s="822"/>
      <c r="G1650" s="822"/>
      <c r="H1650" s="822"/>
    </row>
    <row r="1651" spans="1:8" x14ac:dyDescent="0.2">
      <c r="A1651" s="820">
        <v>1647</v>
      </c>
      <c r="B1651" s="1085" t="str">
        <f t="shared" si="25"/>
        <v>Kina</v>
      </c>
      <c r="C1651" s="1070" t="s">
        <v>3111</v>
      </c>
      <c r="D1651" s="822"/>
      <c r="E1651" s="822"/>
      <c r="F1651" s="822"/>
      <c r="G1651" s="822"/>
      <c r="H1651" s="822"/>
    </row>
    <row r="1652" spans="1:8" x14ac:dyDescent="0.2">
      <c r="A1652" s="820">
        <v>1648</v>
      </c>
      <c r="B1652" s="1085" t="str">
        <f t="shared" si="25"/>
        <v>Philippine Peso</v>
      </c>
      <c r="C1652" s="1070" t="s">
        <v>3759</v>
      </c>
      <c r="D1652" s="822"/>
      <c r="E1652" s="822"/>
      <c r="F1652" s="822"/>
      <c r="G1652" s="822"/>
      <c r="H1652" s="822"/>
    </row>
    <row r="1653" spans="1:8" x14ac:dyDescent="0.2">
      <c r="A1653" s="820">
        <v>1649</v>
      </c>
      <c r="B1653" s="1085" t="str">
        <f t="shared" si="25"/>
        <v>Jersey</v>
      </c>
      <c r="C1653" s="1070" t="s">
        <v>3163</v>
      </c>
      <c r="D1653" s="822"/>
      <c r="E1653" s="822"/>
      <c r="F1653" s="822"/>
      <c r="G1653" s="822"/>
      <c r="H1653" s="822"/>
    </row>
    <row r="1654" spans="1:8" x14ac:dyDescent="0.2">
      <c r="A1654" s="820">
        <v>1650</v>
      </c>
      <c r="B1654" s="1085" t="str">
        <f t="shared" si="25"/>
        <v>Pakistan Rupee</v>
      </c>
      <c r="C1654" s="1070" t="s">
        <v>3761</v>
      </c>
      <c r="D1654" s="822"/>
      <c r="E1654" s="822"/>
      <c r="F1654" s="822"/>
      <c r="G1654" s="822"/>
      <c r="H1654" s="822"/>
    </row>
    <row r="1655" spans="1:8" x14ac:dyDescent="0.2">
      <c r="A1655" s="820">
        <v>1651</v>
      </c>
      <c r="B1655" s="1085" t="str">
        <f t="shared" si="25"/>
        <v>Jamaica</v>
      </c>
      <c r="C1655" s="1070" t="s">
        <v>3164</v>
      </c>
      <c r="D1655" s="822"/>
      <c r="E1655" s="822"/>
      <c r="F1655" s="822"/>
      <c r="G1655" s="822"/>
      <c r="H1655" s="822"/>
    </row>
    <row r="1656" spans="1:8" x14ac:dyDescent="0.2">
      <c r="A1656" s="820">
        <v>1652</v>
      </c>
      <c r="B1656" s="1085" t="str">
        <f t="shared" si="25"/>
        <v>Zloty</v>
      </c>
      <c r="C1656" s="1070" t="s">
        <v>3763</v>
      </c>
      <c r="D1656" s="822"/>
      <c r="E1656" s="822"/>
      <c r="F1656" s="822"/>
      <c r="G1656" s="822"/>
      <c r="H1656" s="822"/>
    </row>
    <row r="1657" spans="1:8" x14ac:dyDescent="0.2">
      <c r="A1657" s="820">
        <v>1653</v>
      </c>
      <c r="B1657" s="1085" t="str">
        <f t="shared" si="25"/>
        <v>Jordan</v>
      </c>
      <c r="C1657" s="1070" t="s">
        <v>3165</v>
      </c>
      <c r="D1657" s="822"/>
      <c r="E1657" s="822"/>
      <c r="F1657" s="822"/>
      <c r="G1657" s="822"/>
      <c r="H1657" s="822"/>
    </row>
    <row r="1658" spans="1:8" x14ac:dyDescent="0.2">
      <c r="A1658" s="820">
        <v>1654</v>
      </c>
      <c r="B1658" s="1085" t="str">
        <f t="shared" si="25"/>
        <v>Guarani</v>
      </c>
      <c r="C1658" s="1070" t="s">
        <v>3765</v>
      </c>
      <c r="D1658" s="822"/>
      <c r="E1658" s="822"/>
      <c r="F1658" s="822"/>
      <c r="G1658" s="822"/>
      <c r="H1658" s="822"/>
    </row>
    <row r="1659" spans="1:8" x14ac:dyDescent="0.2">
      <c r="A1659" s="820">
        <v>1655</v>
      </c>
      <c r="B1659" s="1085" t="str">
        <f t="shared" si="25"/>
        <v>Japan</v>
      </c>
      <c r="C1659" s="1070" t="s">
        <v>3166</v>
      </c>
      <c r="D1659" s="822"/>
      <c r="E1659" s="822"/>
      <c r="F1659" s="822"/>
      <c r="G1659" s="822"/>
      <c r="H1659" s="822"/>
    </row>
    <row r="1660" spans="1:8" x14ac:dyDescent="0.2">
      <c r="A1660" s="820">
        <v>1656</v>
      </c>
      <c r="B1660" s="1085" t="str">
        <f t="shared" si="25"/>
        <v>Qatari Rial</v>
      </c>
      <c r="C1660" s="1070" t="s">
        <v>3767</v>
      </c>
      <c r="D1660" s="822"/>
      <c r="E1660" s="822"/>
      <c r="F1660" s="822"/>
      <c r="G1660" s="822"/>
      <c r="H1660" s="822"/>
    </row>
    <row r="1661" spans="1:8" x14ac:dyDescent="0.2">
      <c r="A1661" s="820">
        <v>1657</v>
      </c>
      <c r="B1661" s="1085" t="str">
        <f t="shared" si="25"/>
        <v>Kenya</v>
      </c>
      <c r="C1661" s="1070" t="s">
        <v>3167</v>
      </c>
      <c r="D1661" s="822"/>
      <c r="E1661" s="822"/>
      <c r="F1661" s="822"/>
      <c r="G1661" s="822"/>
      <c r="H1661" s="822"/>
    </row>
    <row r="1662" spans="1:8" x14ac:dyDescent="0.2">
      <c r="A1662" s="820">
        <v>1658</v>
      </c>
      <c r="B1662" s="1085" t="str">
        <f t="shared" si="25"/>
        <v>Romanian Leu</v>
      </c>
      <c r="C1662" s="1070" t="s">
        <v>3769</v>
      </c>
      <c r="D1662" s="822"/>
      <c r="E1662" s="822"/>
      <c r="F1662" s="822"/>
      <c r="G1662" s="822"/>
      <c r="H1662" s="822"/>
    </row>
    <row r="1663" spans="1:8" x14ac:dyDescent="0.2">
      <c r="A1663" s="820">
        <v>1659</v>
      </c>
      <c r="B1663" s="1085" t="str">
        <f t="shared" si="25"/>
        <v>Kyrgyz, Republic</v>
      </c>
      <c r="C1663" s="1070" t="s">
        <v>3168</v>
      </c>
      <c r="D1663" s="822"/>
      <c r="E1663" s="822"/>
      <c r="F1663" s="822"/>
      <c r="G1663" s="822"/>
      <c r="H1663" s="822"/>
    </row>
    <row r="1664" spans="1:8" x14ac:dyDescent="0.2">
      <c r="A1664" s="820">
        <v>1660</v>
      </c>
      <c r="B1664" s="1085" t="str">
        <f t="shared" si="25"/>
        <v>Serbian Dinar</v>
      </c>
      <c r="C1664" s="1070" t="s">
        <v>3771</v>
      </c>
      <c r="D1664" s="822"/>
      <c r="E1664" s="822"/>
      <c r="F1664" s="822"/>
      <c r="G1664" s="822"/>
      <c r="H1664" s="822"/>
    </row>
    <row r="1665" spans="1:8" x14ac:dyDescent="0.2">
      <c r="A1665" s="820">
        <v>1661</v>
      </c>
      <c r="B1665" s="1085" t="str">
        <f t="shared" si="25"/>
        <v>Cambodia</v>
      </c>
      <c r="C1665" s="1070" t="s">
        <v>3169</v>
      </c>
      <c r="D1665" s="822"/>
      <c r="E1665" s="822"/>
      <c r="F1665" s="822"/>
      <c r="G1665" s="822"/>
      <c r="H1665" s="822"/>
    </row>
    <row r="1666" spans="1:8" x14ac:dyDescent="0.2">
      <c r="A1666" s="820">
        <v>1662</v>
      </c>
      <c r="B1666" s="1085" t="str">
        <f t="shared" si="25"/>
        <v>Russian Ruble</v>
      </c>
      <c r="C1666" s="1070" t="s">
        <v>3773</v>
      </c>
      <c r="D1666" s="822"/>
      <c r="E1666" s="822"/>
      <c r="F1666" s="822"/>
      <c r="G1666" s="822"/>
      <c r="H1666" s="822"/>
    </row>
    <row r="1667" spans="1:8" x14ac:dyDescent="0.2">
      <c r="A1667" s="820">
        <v>1663</v>
      </c>
      <c r="B1667" s="1085" t="str">
        <f t="shared" si="25"/>
        <v>Kiribati</v>
      </c>
      <c r="C1667" s="1070" t="s">
        <v>3170</v>
      </c>
      <c r="D1667" s="822"/>
      <c r="E1667" s="822"/>
      <c r="F1667" s="822"/>
      <c r="G1667" s="822"/>
      <c r="H1667" s="822"/>
    </row>
    <row r="1668" spans="1:8" x14ac:dyDescent="0.2">
      <c r="A1668" s="820">
        <v>1664</v>
      </c>
      <c r="B1668" s="1085" t="str">
        <f t="shared" si="25"/>
        <v>Rwanda Franc</v>
      </c>
      <c r="C1668" s="1070" t="s">
        <v>3775</v>
      </c>
      <c r="D1668" s="822"/>
      <c r="E1668" s="822"/>
      <c r="F1668" s="822"/>
      <c r="G1668" s="822"/>
      <c r="H1668" s="822"/>
    </row>
    <row r="1669" spans="1:8" x14ac:dyDescent="0.2">
      <c r="A1669" s="820">
        <v>1665</v>
      </c>
      <c r="B1669" s="1085" t="str">
        <f t="shared" si="25"/>
        <v>Comoros</v>
      </c>
      <c r="C1669" s="1070" t="s">
        <v>3171</v>
      </c>
      <c r="D1669" s="822"/>
      <c r="E1669" s="822"/>
      <c r="F1669" s="822"/>
      <c r="G1669" s="822"/>
      <c r="H1669" s="822"/>
    </row>
    <row r="1670" spans="1:8" x14ac:dyDescent="0.2">
      <c r="A1670" s="820">
        <v>1666</v>
      </c>
      <c r="B1670" s="1085" t="str">
        <f t="shared" ref="B1670:B1733" si="26">IFERROR(INDEX(C1670:M1670,$A$3-2),$C1670)</f>
        <v>Saudi Riyal</v>
      </c>
      <c r="C1670" s="1070" t="s">
        <v>3777</v>
      </c>
      <c r="D1670" s="822"/>
      <c r="E1670" s="822"/>
      <c r="F1670" s="822"/>
      <c r="G1670" s="822"/>
      <c r="H1670" s="822"/>
    </row>
    <row r="1671" spans="1:8" x14ac:dyDescent="0.2">
      <c r="A1671" s="820">
        <v>1667</v>
      </c>
      <c r="B1671" s="1085" t="str">
        <f t="shared" si="26"/>
        <v>St Kitts and Nevis</v>
      </c>
      <c r="C1671" s="1070" t="s">
        <v>3172</v>
      </c>
      <c r="D1671" s="822"/>
      <c r="E1671" s="822"/>
      <c r="F1671" s="822"/>
      <c r="G1671" s="822"/>
      <c r="H1671" s="822"/>
    </row>
    <row r="1672" spans="1:8" x14ac:dyDescent="0.2">
      <c r="A1672" s="820">
        <v>1668</v>
      </c>
      <c r="B1672" s="1085" t="str">
        <f t="shared" si="26"/>
        <v>Solomon Islands Dollar</v>
      </c>
      <c r="C1672" s="1070" t="s">
        <v>3779</v>
      </c>
      <c r="D1672" s="822"/>
      <c r="E1672" s="822"/>
      <c r="F1672" s="822"/>
      <c r="G1672" s="822"/>
      <c r="H1672" s="822"/>
    </row>
    <row r="1673" spans="1:8" x14ac:dyDescent="0.2">
      <c r="A1673" s="820">
        <v>1669</v>
      </c>
      <c r="B1673" s="1085" t="str">
        <f t="shared" si="26"/>
        <v>Korea, Democratic People’s Republ</v>
      </c>
      <c r="C1673" s="1070" t="s">
        <v>3173</v>
      </c>
      <c r="D1673" s="822"/>
      <c r="E1673" s="822"/>
      <c r="F1673" s="822"/>
      <c r="G1673" s="822"/>
      <c r="H1673" s="822"/>
    </row>
    <row r="1674" spans="1:8" x14ac:dyDescent="0.2">
      <c r="A1674" s="820">
        <v>1670</v>
      </c>
      <c r="B1674" s="1085" t="str">
        <f t="shared" si="26"/>
        <v>Seychelles Rupee</v>
      </c>
      <c r="C1674" s="1070" t="s">
        <v>3781</v>
      </c>
      <c r="D1674" s="822"/>
      <c r="E1674" s="822"/>
      <c r="F1674" s="822"/>
      <c r="G1674" s="822"/>
      <c r="H1674" s="822"/>
    </row>
    <row r="1675" spans="1:8" x14ac:dyDescent="0.2">
      <c r="A1675" s="820">
        <v>1671</v>
      </c>
      <c r="B1675" s="1085" t="str">
        <f t="shared" si="26"/>
        <v>Korea, Republic of</v>
      </c>
      <c r="C1675" s="1070" t="s">
        <v>3174</v>
      </c>
      <c r="D1675" s="822"/>
      <c r="E1675" s="822"/>
      <c r="F1675" s="822"/>
      <c r="G1675" s="822"/>
      <c r="H1675" s="822"/>
    </row>
    <row r="1676" spans="1:8" x14ac:dyDescent="0.2">
      <c r="A1676" s="820">
        <v>1672</v>
      </c>
      <c r="B1676" s="1085" t="str">
        <f t="shared" si="26"/>
        <v>Sudanese Pound</v>
      </c>
      <c r="C1676" s="1070" t="s">
        <v>3783</v>
      </c>
      <c r="D1676" s="822"/>
      <c r="E1676" s="822"/>
      <c r="F1676" s="822"/>
      <c r="G1676" s="822"/>
      <c r="H1676" s="822"/>
    </row>
    <row r="1677" spans="1:8" x14ac:dyDescent="0.2">
      <c r="A1677" s="820">
        <v>1673</v>
      </c>
      <c r="B1677" s="1085" t="str">
        <f t="shared" si="26"/>
        <v>Kuwait</v>
      </c>
      <c r="C1677" s="1070" t="s">
        <v>3175</v>
      </c>
      <c r="D1677" s="822"/>
      <c r="E1677" s="822"/>
      <c r="F1677" s="822"/>
      <c r="G1677" s="822"/>
      <c r="H1677" s="822"/>
    </row>
    <row r="1678" spans="1:8" x14ac:dyDescent="0.2">
      <c r="A1678" s="820">
        <v>1674</v>
      </c>
      <c r="B1678" s="1085" t="str">
        <f t="shared" si="26"/>
        <v>Swedish Krona</v>
      </c>
      <c r="C1678" s="1070" t="s">
        <v>3785</v>
      </c>
      <c r="D1678" s="822"/>
      <c r="E1678" s="822"/>
      <c r="F1678" s="822"/>
      <c r="G1678" s="822"/>
      <c r="H1678" s="822"/>
    </row>
    <row r="1679" spans="1:8" x14ac:dyDescent="0.2">
      <c r="A1679" s="820">
        <v>1675</v>
      </c>
      <c r="B1679" s="1085" t="str">
        <f t="shared" si="26"/>
        <v>Cayman Islands</v>
      </c>
      <c r="C1679" s="1070" t="s">
        <v>3176</v>
      </c>
      <c r="D1679" s="822"/>
      <c r="E1679" s="822"/>
      <c r="F1679" s="822"/>
      <c r="G1679" s="822"/>
      <c r="H1679" s="822"/>
    </row>
    <row r="1680" spans="1:8" x14ac:dyDescent="0.2">
      <c r="A1680" s="820">
        <v>1676</v>
      </c>
      <c r="B1680" s="1085" t="str">
        <f t="shared" si="26"/>
        <v>Singapore Dollar</v>
      </c>
      <c r="C1680" s="1070" t="s">
        <v>3787</v>
      </c>
      <c r="D1680" s="822"/>
      <c r="E1680" s="822"/>
      <c r="F1680" s="822"/>
      <c r="G1680" s="822"/>
      <c r="H1680" s="822"/>
    </row>
    <row r="1681" spans="1:8" x14ac:dyDescent="0.2">
      <c r="A1681" s="820">
        <v>1677</v>
      </c>
      <c r="B1681" s="1085" t="str">
        <f t="shared" si="26"/>
        <v>Kazakhstan</v>
      </c>
      <c r="C1681" s="1070" t="s">
        <v>3177</v>
      </c>
      <c r="D1681" s="822"/>
      <c r="E1681" s="822"/>
      <c r="F1681" s="822"/>
      <c r="G1681" s="822"/>
      <c r="H1681" s="822"/>
    </row>
    <row r="1682" spans="1:8" x14ac:dyDescent="0.2">
      <c r="A1682" s="820">
        <v>1678</v>
      </c>
      <c r="B1682" s="1085" t="str">
        <f t="shared" si="26"/>
        <v>Saint Helena Pound</v>
      </c>
      <c r="C1682" s="1070" t="s">
        <v>3789</v>
      </c>
      <c r="D1682" s="822"/>
      <c r="E1682" s="822"/>
      <c r="F1682" s="822"/>
      <c r="G1682" s="822"/>
      <c r="H1682" s="822"/>
    </row>
    <row r="1683" spans="1:8" x14ac:dyDescent="0.2">
      <c r="A1683" s="820">
        <v>1679</v>
      </c>
      <c r="B1683" s="1085" t="str">
        <f t="shared" si="26"/>
        <v>Lao People’s Democratic Republic</v>
      </c>
      <c r="C1683" s="1070" t="s">
        <v>3178</v>
      </c>
      <c r="D1683" s="822"/>
      <c r="E1683" s="822"/>
      <c r="F1683" s="822"/>
      <c r="G1683" s="822"/>
      <c r="H1683" s="822"/>
    </row>
    <row r="1684" spans="1:8" x14ac:dyDescent="0.2">
      <c r="A1684" s="820">
        <v>1680</v>
      </c>
      <c r="B1684" s="1085" t="str">
        <f t="shared" si="26"/>
        <v>Leone</v>
      </c>
      <c r="C1684" s="1070" t="s">
        <v>3791</v>
      </c>
      <c r="D1684" s="822"/>
      <c r="E1684" s="822"/>
      <c r="F1684" s="822"/>
      <c r="G1684" s="822"/>
      <c r="H1684" s="822"/>
    </row>
    <row r="1685" spans="1:8" x14ac:dyDescent="0.2">
      <c r="A1685" s="820">
        <v>1681</v>
      </c>
      <c r="B1685" s="1085" t="str">
        <f t="shared" si="26"/>
        <v>Lebanon</v>
      </c>
      <c r="C1685" s="1070" t="s">
        <v>3179</v>
      </c>
      <c r="D1685" s="822"/>
      <c r="E1685" s="822"/>
      <c r="F1685" s="822"/>
      <c r="G1685" s="822"/>
      <c r="H1685" s="822"/>
    </row>
    <row r="1686" spans="1:8" x14ac:dyDescent="0.2">
      <c r="A1686" s="820">
        <v>1682</v>
      </c>
      <c r="B1686" s="1085" t="str">
        <f t="shared" si="26"/>
        <v>St Lucia</v>
      </c>
      <c r="C1686" s="1070" t="s">
        <v>3180</v>
      </c>
      <c r="D1686" s="822"/>
      <c r="E1686" s="822"/>
      <c r="F1686" s="822"/>
      <c r="G1686" s="822"/>
      <c r="H1686" s="822"/>
    </row>
    <row r="1687" spans="1:8" x14ac:dyDescent="0.2">
      <c r="A1687" s="820">
        <v>1683</v>
      </c>
      <c r="B1687" s="1085" t="str">
        <f t="shared" si="26"/>
        <v>Somali Shilling</v>
      </c>
      <c r="C1687" s="1070" t="s">
        <v>3794</v>
      </c>
      <c r="D1687" s="822"/>
      <c r="E1687" s="822"/>
      <c r="F1687" s="822"/>
      <c r="G1687" s="822"/>
      <c r="H1687" s="822"/>
    </row>
    <row r="1688" spans="1:8" x14ac:dyDescent="0.2">
      <c r="A1688" s="820">
        <v>1684</v>
      </c>
      <c r="B1688" s="1085" t="str">
        <f t="shared" si="26"/>
        <v>Surinam Dollar</v>
      </c>
      <c r="C1688" s="1070" t="s">
        <v>3796</v>
      </c>
      <c r="D1688" s="822"/>
      <c r="E1688" s="822"/>
      <c r="F1688" s="822"/>
      <c r="G1688" s="822"/>
      <c r="H1688" s="822"/>
    </row>
    <row r="1689" spans="1:8" x14ac:dyDescent="0.2">
      <c r="A1689" s="820">
        <v>1685</v>
      </c>
      <c r="B1689" s="1085" t="str">
        <f t="shared" si="26"/>
        <v>Sri Lanka</v>
      </c>
      <c r="C1689" s="1070" t="s">
        <v>3181</v>
      </c>
      <c r="D1689" s="822"/>
      <c r="E1689" s="822"/>
      <c r="F1689" s="822"/>
      <c r="G1689" s="822"/>
      <c r="H1689" s="822"/>
    </row>
    <row r="1690" spans="1:8" x14ac:dyDescent="0.2">
      <c r="A1690" s="820">
        <v>1686</v>
      </c>
      <c r="B1690" s="1085" t="str">
        <f t="shared" si="26"/>
        <v>South Sudanese Pound</v>
      </c>
      <c r="C1690" s="1070" t="s">
        <v>3798</v>
      </c>
      <c r="D1690" s="822"/>
      <c r="E1690" s="822"/>
      <c r="F1690" s="822"/>
      <c r="G1690" s="822"/>
      <c r="H1690" s="822"/>
    </row>
    <row r="1691" spans="1:8" x14ac:dyDescent="0.2">
      <c r="A1691" s="820">
        <v>1687</v>
      </c>
      <c r="B1691" s="1085" t="str">
        <f t="shared" si="26"/>
        <v>Liberia</v>
      </c>
      <c r="C1691" s="1070" t="s">
        <v>3182</v>
      </c>
      <c r="D1691" s="822"/>
      <c r="E1691" s="822"/>
      <c r="F1691" s="822"/>
      <c r="G1691" s="822"/>
      <c r="H1691" s="822"/>
    </row>
    <row r="1692" spans="1:8" x14ac:dyDescent="0.2">
      <c r="A1692" s="820">
        <v>1688</v>
      </c>
      <c r="B1692" s="1085" t="str">
        <f t="shared" si="26"/>
        <v>Dobra</v>
      </c>
      <c r="C1692" s="1070" t="s">
        <v>3800</v>
      </c>
      <c r="D1692" s="822"/>
      <c r="E1692" s="822"/>
      <c r="F1692" s="822"/>
      <c r="G1692" s="822"/>
      <c r="H1692" s="822"/>
    </row>
    <row r="1693" spans="1:8" x14ac:dyDescent="0.2">
      <c r="A1693" s="820">
        <v>1689</v>
      </c>
      <c r="B1693" s="1085" t="str">
        <f t="shared" si="26"/>
        <v>Lesotho</v>
      </c>
      <c r="C1693" s="1070" t="s">
        <v>3183</v>
      </c>
      <c r="D1693" s="822"/>
      <c r="E1693" s="822"/>
      <c r="F1693" s="822"/>
      <c r="G1693" s="822"/>
      <c r="H1693" s="822"/>
    </row>
    <row r="1694" spans="1:8" x14ac:dyDescent="0.2">
      <c r="A1694" s="820">
        <v>1690</v>
      </c>
      <c r="B1694" s="1085" t="str">
        <f t="shared" si="26"/>
        <v>El Salvador Colon</v>
      </c>
      <c r="C1694" s="1070" t="s">
        <v>3802</v>
      </c>
      <c r="D1694" s="822"/>
      <c r="E1694" s="822"/>
      <c r="F1694" s="822"/>
      <c r="G1694" s="822"/>
      <c r="H1694" s="822"/>
    </row>
    <row r="1695" spans="1:8" x14ac:dyDescent="0.2">
      <c r="A1695" s="820">
        <v>1691</v>
      </c>
      <c r="B1695" s="1085" t="str">
        <f t="shared" si="26"/>
        <v>Syrian Pound</v>
      </c>
      <c r="C1695" s="1070" t="s">
        <v>3804</v>
      </c>
      <c r="D1695" s="822"/>
      <c r="E1695" s="822"/>
      <c r="F1695" s="822"/>
      <c r="G1695" s="822"/>
      <c r="H1695" s="822"/>
    </row>
    <row r="1696" spans="1:8" x14ac:dyDescent="0.2">
      <c r="A1696" s="820">
        <v>1692</v>
      </c>
      <c r="B1696" s="1085" t="str">
        <f t="shared" si="26"/>
        <v>Lilangeni</v>
      </c>
      <c r="C1696" s="1070" t="s">
        <v>3806</v>
      </c>
      <c r="D1696" s="822"/>
      <c r="E1696" s="822"/>
      <c r="F1696" s="822"/>
      <c r="G1696" s="822"/>
      <c r="H1696" s="822"/>
    </row>
    <row r="1697" spans="1:8" x14ac:dyDescent="0.2">
      <c r="A1697" s="820">
        <v>1693</v>
      </c>
      <c r="B1697" s="1085" t="str">
        <f t="shared" si="26"/>
        <v>Baht</v>
      </c>
      <c r="C1697" s="1070" t="s">
        <v>3808</v>
      </c>
      <c r="D1697" s="822"/>
      <c r="E1697" s="822"/>
      <c r="F1697" s="822"/>
      <c r="G1697" s="822"/>
      <c r="H1697" s="822"/>
    </row>
    <row r="1698" spans="1:8" x14ac:dyDescent="0.2">
      <c r="A1698" s="820">
        <v>1694</v>
      </c>
      <c r="B1698" s="1085" t="str">
        <f t="shared" si="26"/>
        <v>Libya</v>
      </c>
      <c r="C1698" s="1070" t="s">
        <v>3184</v>
      </c>
      <c r="D1698" s="822"/>
      <c r="E1698" s="822"/>
      <c r="F1698" s="822"/>
      <c r="G1698" s="822"/>
      <c r="H1698" s="822"/>
    </row>
    <row r="1699" spans="1:8" x14ac:dyDescent="0.2">
      <c r="A1699" s="820">
        <v>1695</v>
      </c>
      <c r="B1699" s="1085" t="str">
        <f t="shared" si="26"/>
        <v>Somoni</v>
      </c>
      <c r="C1699" s="1070" t="s">
        <v>3810</v>
      </c>
      <c r="D1699" s="822"/>
      <c r="E1699" s="822"/>
      <c r="F1699" s="822"/>
      <c r="G1699" s="822"/>
      <c r="H1699" s="822"/>
    </row>
    <row r="1700" spans="1:8" x14ac:dyDescent="0.2">
      <c r="A1700" s="820">
        <v>1696</v>
      </c>
      <c r="B1700" s="1085" t="str">
        <f t="shared" si="26"/>
        <v>Morocco</v>
      </c>
      <c r="C1700" s="1070" t="s">
        <v>3185</v>
      </c>
      <c r="D1700" s="822"/>
      <c r="E1700" s="822"/>
      <c r="F1700" s="822"/>
      <c r="G1700" s="822"/>
      <c r="H1700" s="822"/>
    </row>
    <row r="1701" spans="1:8" x14ac:dyDescent="0.2">
      <c r="A1701" s="820">
        <v>1697</v>
      </c>
      <c r="B1701" s="1085" t="str">
        <f t="shared" si="26"/>
        <v>Turkmenistan New Manat</v>
      </c>
      <c r="C1701" s="1070" t="s">
        <v>3812</v>
      </c>
      <c r="D1701" s="822"/>
      <c r="E1701" s="822"/>
      <c r="F1701" s="822"/>
      <c r="G1701" s="822"/>
      <c r="H1701" s="822"/>
    </row>
    <row r="1702" spans="1:8" x14ac:dyDescent="0.2">
      <c r="A1702" s="820">
        <v>1698</v>
      </c>
      <c r="B1702" s="1085" t="str">
        <f t="shared" si="26"/>
        <v>Monaco</v>
      </c>
      <c r="C1702" s="1070" t="s">
        <v>3186</v>
      </c>
      <c r="D1702" s="822"/>
      <c r="E1702" s="822"/>
      <c r="F1702" s="822"/>
      <c r="G1702" s="822"/>
      <c r="H1702" s="822"/>
    </row>
    <row r="1703" spans="1:8" x14ac:dyDescent="0.2">
      <c r="A1703" s="820">
        <v>1699</v>
      </c>
      <c r="B1703" s="1085" t="str">
        <f t="shared" si="26"/>
        <v>Tunisian Dinar</v>
      </c>
      <c r="C1703" s="1070" t="s">
        <v>3814</v>
      </c>
      <c r="D1703" s="822"/>
      <c r="E1703" s="822"/>
      <c r="F1703" s="822"/>
      <c r="G1703" s="822"/>
      <c r="H1703" s="822"/>
    </row>
    <row r="1704" spans="1:8" x14ac:dyDescent="0.2">
      <c r="A1704" s="820">
        <v>1700</v>
      </c>
      <c r="B1704" s="1085" t="str">
        <f t="shared" si="26"/>
        <v>Moldova, Republic of</v>
      </c>
      <c r="C1704" s="1070" t="s">
        <v>3187</v>
      </c>
      <c r="D1704" s="822"/>
      <c r="E1704" s="822"/>
      <c r="F1704" s="822"/>
      <c r="G1704" s="822"/>
      <c r="H1704" s="822"/>
    </row>
    <row r="1705" spans="1:8" x14ac:dyDescent="0.2">
      <c r="A1705" s="820">
        <v>1701</v>
      </c>
      <c r="B1705" s="1085" t="str">
        <f t="shared" si="26"/>
        <v>Pa’anga</v>
      </c>
      <c r="C1705" s="1070" t="s">
        <v>3816</v>
      </c>
      <c r="D1705" s="822"/>
      <c r="E1705" s="822"/>
      <c r="F1705" s="822"/>
      <c r="G1705" s="822"/>
      <c r="H1705" s="822"/>
    </row>
    <row r="1706" spans="1:8" x14ac:dyDescent="0.2">
      <c r="A1706" s="820">
        <v>1702</v>
      </c>
      <c r="B1706" s="1085" t="str">
        <f t="shared" si="26"/>
        <v>Montenegro</v>
      </c>
      <c r="C1706" s="1070" t="s">
        <v>3188</v>
      </c>
      <c r="D1706" s="822"/>
      <c r="E1706" s="822"/>
      <c r="F1706" s="822"/>
      <c r="G1706" s="822"/>
      <c r="H1706" s="822"/>
    </row>
    <row r="1707" spans="1:8" x14ac:dyDescent="0.2">
      <c r="A1707" s="820">
        <v>1703</v>
      </c>
      <c r="B1707" s="1085" t="str">
        <f t="shared" si="26"/>
        <v>Turkish Lira</v>
      </c>
      <c r="C1707" s="1070" t="s">
        <v>3818</v>
      </c>
      <c r="D1707" s="822"/>
      <c r="E1707" s="822"/>
      <c r="F1707" s="822"/>
      <c r="G1707" s="822"/>
      <c r="H1707" s="822"/>
    </row>
    <row r="1708" spans="1:8" x14ac:dyDescent="0.2">
      <c r="A1708" s="820">
        <v>1704</v>
      </c>
      <c r="B1708" s="1085" t="str">
        <f t="shared" si="26"/>
        <v>Saint Martin (French part)</v>
      </c>
      <c r="C1708" s="1070" t="s">
        <v>3189</v>
      </c>
      <c r="D1708" s="822"/>
      <c r="E1708" s="822"/>
      <c r="F1708" s="822"/>
      <c r="G1708" s="822"/>
      <c r="H1708" s="822"/>
    </row>
    <row r="1709" spans="1:8" x14ac:dyDescent="0.2">
      <c r="A1709" s="820">
        <v>1705</v>
      </c>
      <c r="B1709" s="1085" t="str">
        <f t="shared" si="26"/>
        <v>Trinidad and Tobago Dollar</v>
      </c>
      <c r="C1709" s="1070" t="s">
        <v>3820</v>
      </c>
      <c r="D1709" s="822"/>
      <c r="E1709" s="822"/>
      <c r="F1709" s="822"/>
      <c r="G1709" s="822"/>
      <c r="H1709" s="822"/>
    </row>
    <row r="1710" spans="1:8" x14ac:dyDescent="0.2">
      <c r="A1710" s="820">
        <v>1706</v>
      </c>
      <c r="B1710" s="1085" t="str">
        <f t="shared" si="26"/>
        <v>Madagascar</v>
      </c>
      <c r="C1710" s="1070" t="s">
        <v>3190</v>
      </c>
      <c r="D1710" s="822"/>
      <c r="E1710" s="822"/>
      <c r="F1710" s="822"/>
      <c r="G1710" s="822"/>
      <c r="H1710" s="822"/>
    </row>
    <row r="1711" spans="1:8" x14ac:dyDescent="0.2">
      <c r="A1711" s="820">
        <v>1707</v>
      </c>
      <c r="B1711" s="1085" t="str">
        <f t="shared" si="26"/>
        <v>New Taiwan Dollar</v>
      </c>
      <c r="C1711" s="1070" t="s">
        <v>3822</v>
      </c>
      <c r="D1711" s="822"/>
      <c r="E1711" s="822"/>
      <c r="F1711" s="822"/>
      <c r="G1711" s="822"/>
      <c r="H1711" s="822"/>
    </row>
    <row r="1712" spans="1:8" x14ac:dyDescent="0.2">
      <c r="A1712" s="820">
        <v>1708</v>
      </c>
      <c r="B1712" s="1085" t="str">
        <f t="shared" si="26"/>
        <v>Marshall Islands</v>
      </c>
      <c r="C1712" s="1070" t="s">
        <v>3191</v>
      </c>
      <c r="D1712" s="822"/>
      <c r="E1712" s="822"/>
      <c r="F1712" s="822"/>
      <c r="G1712" s="822"/>
      <c r="H1712" s="822"/>
    </row>
    <row r="1713" spans="1:8" x14ac:dyDescent="0.2">
      <c r="A1713" s="820">
        <v>1709</v>
      </c>
      <c r="B1713" s="1085" t="str">
        <f t="shared" si="26"/>
        <v>Tanzanian Shilling</v>
      </c>
      <c r="C1713" s="1070" t="s">
        <v>3824</v>
      </c>
      <c r="D1713" s="822"/>
      <c r="E1713" s="822"/>
      <c r="F1713" s="822"/>
      <c r="G1713" s="822"/>
      <c r="H1713" s="822"/>
    </row>
    <row r="1714" spans="1:8" x14ac:dyDescent="0.2">
      <c r="A1714" s="820">
        <v>1710</v>
      </c>
      <c r="B1714" s="1085" t="str">
        <f t="shared" si="26"/>
        <v>North Macedonia</v>
      </c>
      <c r="C1714" s="1070" t="s">
        <v>3192</v>
      </c>
      <c r="D1714" s="822"/>
      <c r="E1714" s="822"/>
      <c r="F1714" s="822"/>
      <c r="G1714" s="822"/>
      <c r="H1714" s="822"/>
    </row>
    <row r="1715" spans="1:8" x14ac:dyDescent="0.2">
      <c r="A1715" s="820">
        <v>1711</v>
      </c>
      <c r="B1715" s="1085" t="str">
        <f t="shared" si="26"/>
        <v>Hryvnia</v>
      </c>
      <c r="C1715" s="1070" t="s">
        <v>3826</v>
      </c>
      <c r="D1715" s="822"/>
      <c r="E1715" s="822"/>
      <c r="F1715" s="822"/>
      <c r="G1715" s="822"/>
      <c r="H1715" s="822"/>
    </row>
    <row r="1716" spans="1:8" x14ac:dyDescent="0.2">
      <c r="A1716" s="820">
        <v>1712</v>
      </c>
      <c r="B1716" s="1085" t="str">
        <f t="shared" si="26"/>
        <v>Mali</v>
      </c>
      <c r="C1716" s="1070" t="s">
        <v>3193</v>
      </c>
      <c r="D1716" s="822"/>
      <c r="E1716" s="822"/>
      <c r="F1716" s="822"/>
      <c r="G1716" s="822"/>
      <c r="H1716" s="822"/>
    </row>
    <row r="1717" spans="1:8" x14ac:dyDescent="0.2">
      <c r="A1717" s="820">
        <v>1713</v>
      </c>
      <c r="B1717" s="1085" t="str">
        <f t="shared" si="26"/>
        <v>Uganda Shilling</v>
      </c>
      <c r="C1717" s="1070" t="s">
        <v>3828</v>
      </c>
      <c r="D1717" s="822"/>
      <c r="E1717" s="822"/>
      <c r="F1717" s="822"/>
      <c r="G1717" s="822"/>
      <c r="H1717" s="822"/>
    </row>
    <row r="1718" spans="1:8" x14ac:dyDescent="0.2">
      <c r="A1718" s="820">
        <v>1714</v>
      </c>
      <c r="B1718" s="1085" t="str">
        <f t="shared" si="26"/>
        <v>Myanmar</v>
      </c>
      <c r="C1718" s="1070" t="s">
        <v>3194</v>
      </c>
      <c r="D1718" s="822"/>
      <c r="E1718" s="822"/>
      <c r="F1718" s="822"/>
      <c r="G1718" s="822"/>
      <c r="H1718" s="822"/>
    </row>
    <row r="1719" spans="1:8" x14ac:dyDescent="0.2">
      <c r="A1719" s="820">
        <v>1715</v>
      </c>
      <c r="B1719" s="1085" t="str">
        <f t="shared" si="26"/>
        <v>US Dollar</v>
      </c>
      <c r="C1719" s="1070" t="s">
        <v>3829</v>
      </c>
      <c r="D1719" s="822"/>
      <c r="E1719" s="822"/>
      <c r="F1719" s="822"/>
      <c r="G1719" s="822"/>
      <c r="H1719" s="822"/>
    </row>
    <row r="1720" spans="1:8" x14ac:dyDescent="0.2">
      <c r="A1720" s="820">
        <v>1716</v>
      </c>
      <c r="B1720" s="1085" t="str">
        <f t="shared" si="26"/>
        <v>Mongolia</v>
      </c>
      <c r="C1720" s="1070" t="s">
        <v>3195</v>
      </c>
      <c r="D1720" s="822"/>
      <c r="E1720" s="822"/>
      <c r="F1720" s="822"/>
      <c r="G1720" s="822"/>
      <c r="H1720" s="822"/>
    </row>
    <row r="1721" spans="1:8" x14ac:dyDescent="0.2">
      <c r="A1721" s="820">
        <v>1717</v>
      </c>
      <c r="B1721" s="1085" t="str">
        <f t="shared" si="26"/>
        <v>Uruguay Peso en Unidades Indexadas (UI)</v>
      </c>
      <c r="C1721" s="1070" t="s">
        <v>3831</v>
      </c>
      <c r="D1721" s="822"/>
      <c r="E1721" s="822"/>
      <c r="F1721" s="822"/>
      <c r="G1721" s="822"/>
      <c r="H1721" s="822"/>
    </row>
    <row r="1722" spans="1:8" x14ac:dyDescent="0.2">
      <c r="A1722" s="820">
        <v>1718</v>
      </c>
      <c r="B1722" s="1085" t="str">
        <f t="shared" si="26"/>
        <v>Macao</v>
      </c>
      <c r="C1722" s="1070" t="s">
        <v>3196</v>
      </c>
      <c r="D1722" s="822"/>
      <c r="E1722" s="822"/>
      <c r="F1722" s="822"/>
      <c r="G1722" s="822"/>
      <c r="H1722" s="822"/>
    </row>
    <row r="1723" spans="1:8" x14ac:dyDescent="0.2">
      <c r="A1723" s="820">
        <v>1719</v>
      </c>
      <c r="B1723" s="1085" t="str">
        <f t="shared" si="26"/>
        <v>Peso Uruguayo</v>
      </c>
      <c r="C1723" s="1070" t="s">
        <v>3833</v>
      </c>
      <c r="D1723" s="822"/>
      <c r="E1723" s="822"/>
      <c r="F1723" s="822"/>
      <c r="G1723" s="822"/>
      <c r="H1723" s="822"/>
    </row>
    <row r="1724" spans="1:8" x14ac:dyDescent="0.2">
      <c r="A1724" s="820">
        <v>1720</v>
      </c>
      <c r="B1724" s="1085" t="str">
        <f t="shared" si="26"/>
        <v>Northern Mariana Islands</v>
      </c>
      <c r="C1724" s="1070" t="s">
        <v>3197</v>
      </c>
      <c r="D1724" s="822"/>
      <c r="E1724" s="822"/>
      <c r="F1724" s="822"/>
      <c r="G1724" s="822"/>
      <c r="H1724" s="822"/>
    </row>
    <row r="1725" spans="1:8" x14ac:dyDescent="0.2">
      <c r="A1725" s="820">
        <v>1721</v>
      </c>
      <c r="B1725" s="1085" t="str">
        <f t="shared" si="26"/>
        <v>Unidad Previsional</v>
      </c>
      <c r="C1725" s="1070" t="s">
        <v>3835</v>
      </c>
      <c r="D1725" s="822"/>
      <c r="E1725" s="822"/>
      <c r="F1725" s="822"/>
      <c r="G1725" s="822"/>
      <c r="H1725" s="822"/>
    </row>
    <row r="1726" spans="1:8" x14ac:dyDescent="0.2">
      <c r="A1726" s="820">
        <v>1722</v>
      </c>
      <c r="B1726" s="1085" t="str">
        <f t="shared" si="26"/>
        <v>Martinique</v>
      </c>
      <c r="C1726" s="1070" t="s">
        <v>3198</v>
      </c>
      <c r="D1726" s="822"/>
      <c r="E1726" s="822"/>
      <c r="F1726" s="822"/>
      <c r="G1726" s="822"/>
      <c r="H1726" s="822"/>
    </row>
    <row r="1727" spans="1:8" x14ac:dyDescent="0.2">
      <c r="A1727" s="820">
        <v>1723</v>
      </c>
      <c r="B1727" s="1085" t="str">
        <f t="shared" si="26"/>
        <v>Uzbekistan Sum</v>
      </c>
      <c r="C1727" s="1070" t="s">
        <v>3837</v>
      </c>
      <c r="D1727" s="822"/>
      <c r="E1727" s="822"/>
      <c r="F1727" s="822"/>
      <c r="G1727" s="822"/>
      <c r="H1727" s="822"/>
    </row>
    <row r="1728" spans="1:8" x14ac:dyDescent="0.2">
      <c r="A1728" s="820">
        <v>1724</v>
      </c>
      <c r="B1728" s="1085" t="str">
        <f t="shared" si="26"/>
        <v>Mauritania</v>
      </c>
      <c r="C1728" s="1070" t="s">
        <v>3199</v>
      </c>
      <c r="D1728" s="822"/>
      <c r="E1728" s="822"/>
      <c r="F1728" s="822"/>
      <c r="G1728" s="822"/>
      <c r="H1728" s="822"/>
    </row>
    <row r="1729" spans="1:8" x14ac:dyDescent="0.2">
      <c r="A1729" s="820">
        <v>1725</v>
      </c>
      <c r="B1729" s="1085" t="str">
        <f t="shared" si="26"/>
        <v>Bolívar Soberano</v>
      </c>
      <c r="C1729" s="1070" t="s">
        <v>3839</v>
      </c>
      <c r="D1729" s="822"/>
      <c r="E1729" s="822"/>
      <c r="F1729" s="822"/>
      <c r="G1729" s="822"/>
      <c r="H1729" s="822"/>
    </row>
    <row r="1730" spans="1:8" x14ac:dyDescent="0.2">
      <c r="A1730" s="820">
        <v>1726</v>
      </c>
      <c r="B1730" s="1085" t="str">
        <f t="shared" si="26"/>
        <v>Montserrat</v>
      </c>
      <c r="C1730" s="1070" t="s">
        <v>3200</v>
      </c>
      <c r="D1730" s="822"/>
      <c r="E1730" s="822"/>
      <c r="F1730" s="822"/>
      <c r="G1730" s="822"/>
      <c r="H1730" s="822"/>
    </row>
    <row r="1731" spans="1:8" x14ac:dyDescent="0.2">
      <c r="A1731" s="820">
        <v>1727</v>
      </c>
      <c r="B1731" s="1085" t="str">
        <f t="shared" si="26"/>
        <v>Bolivar Soberano</v>
      </c>
      <c r="C1731" s="1070" t="s">
        <v>3841</v>
      </c>
      <c r="D1731" s="822"/>
      <c r="E1731" s="822"/>
      <c r="F1731" s="822"/>
      <c r="G1731" s="822"/>
      <c r="H1731" s="822"/>
    </row>
    <row r="1732" spans="1:8" x14ac:dyDescent="0.2">
      <c r="A1732" s="820">
        <v>1728</v>
      </c>
      <c r="B1732" s="1085" t="str">
        <f t="shared" si="26"/>
        <v>Dong</v>
      </c>
      <c r="C1732" s="1070" t="s">
        <v>3843</v>
      </c>
      <c r="D1732" s="822"/>
      <c r="E1732" s="822"/>
      <c r="F1732" s="822"/>
      <c r="G1732" s="822"/>
      <c r="H1732" s="822"/>
    </row>
    <row r="1733" spans="1:8" x14ac:dyDescent="0.2">
      <c r="A1733" s="820">
        <v>1729</v>
      </c>
      <c r="B1733" s="1085" t="str">
        <f t="shared" si="26"/>
        <v>Mauritius</v>
      </c>
      <c r="C1733" s="1070" t="s">
        <v>3201</v>
      </c>
      <c r="D1733" s="822"/>
      <c r="E1733" s="822"/>
      <c r="F1733" s="822"/>
      <c r="G1733" s="822"/>
      <c r="H1733" s="822"/>
    </row>
    <row r="1734" spans="1:8" x14ac:dyDescent="0.2">
      <c r="A1734" s="820">
        <v>1730</v>
      </c>
      <c r="B1734" s="1085" t="str">
        <f t="shared" ref="B1734:B1797" si="27">IFERROR(INDEX(C1734:M1734,$A$3-2),$C1734)</f>
        <v>Vatu</v>
      </c>
      <c r="C1734" s="1070" t="s">
        <v>3845</v>
      </c>
      <c r="D1734" s="822"/>
      <c r="E1734" s="822"/>
      <c r="F1734" s="822"/>
      <c r="G1734" s="822"/>
      <c r="H1734" s="822"/>
    </row>
    <row r="1735" spans="1:8" x14ac:dyDescent="0.2">
      <c r="A1735" s="820">
        <v>1731</v>
      </c>
      <c r="B1735" s="1085" t="str">
        <f t="shared" si="27"/>
        <v>Maldives</v>
      </c>
      <c r="C1735" s="1070" t="s">
        <v>3202</v>
      </c>
      <c r="D1735" s="822"/>
      <c r="E1735" s="822"/>
      <c r="F1735" s="822"/>
      <c r="G1735" s="822"/>
      <c r="H1735" s="822"/>
    </row>
    <row r="1736" spans="1:8" x14ac:dyDescent="0.2">
      <c r="A1736" s="820">
        <v>1732</v>
      </c>
      <c r="B1736" s="1085" t="str">
        <f t="shared" si="27"/>
        <v>Tala</v>
      </c>
      <c r="C1736" s="1070" t="s">
        <v>3847</v>
      </c>
      <c r="D1736" s="822"/>
      <c r="E1736" s="822"/>
      <c r="F1736" s="822"/>
      <c r="G1736" s="822"/>
      <c r="H1736" s="822"/>
    </row>
    <row r="1737" spans="1:8" x14ac:dyDescent="0.2">
      <c r="A1737" s="820">
        <v>1733</v>
      </c>
      <c r="B1737" s="1085" t="str">
        <f t="shared" si="27"/>
        <v>Malawi</v>
      </c>
      <c r="C1737" s="1070" t="s">
        <v>3203</v>
      </c>
      <c r="D1737" s="822"/>
      <c r="E1737" s="822"/>
      <c r="F1737" s="822"/>
      <c r="G1737" s="822"/>
      <c r="H1737" s="822"/>
    </row>
    <row r="1738" spans="1:8" x14ac:dyDescent="0.2">
      <c r="A1738" s="820">
        <v>1734</v>
      </c>
      <c r="B1738" s="1085" t="str">
        <f t="shared" si="27"/>
        <v>CFA Franc BEAC</v>
      </c>
      <c r="C1738" s="1070" t="s">
        <v>3849</v>
      </c>
      <c r="D1738" s="822"/>
      <c r="E1738" s="822"/>
      <c r="F1738" s="822"/>
      <c r="G1738" s="822"/>
      <c r="H1738" s="822"/>
    </row>
    <row r="1739" spans="1:8" x14ac:dyDescent="0.2">
      <c r="A1739" s="820">
        <v>1735</v>
      </c>
      <c r="B1739" s="1085" t="str">
        <f t="shared" si="27"/>
        <v>Mexico</v>
      </c>
      <c r="C1739" s="1070" t="s">
        <v>3204</v>
      </c>
      <c r="D1739" s="822"/>
      <c r="E1739" s="822"/>
      <c r="F1739" s="822"/>
      <c r="G1739" s="822"/>
      <c r="H1739" s="822"/>
    </row>
    <row r="1740" spans="1:8" x14ac:dyDescent="0.2">
      <c r="A1740" s="820">
        <v>1736</v>
      </c>
      <c r="B1740" s="1085" t="str">
        <f t="shared" si="27"/>
        <v>East Caribbean Dollar</v>
      </c>
      <c r="C1740" s="1070" t="s">
        <v>3851</v>
      </c>
      <c r="D1740" s="822"/>
      <c r="E1740" s="822"/>
      <c r="F1740" s="822"/>
      <c r="G1740" s="822"/>
      <c r="H1740" s="822"/>
    </row>
    <row r="1741" spans="1:8" x14ac:dyDescent="0.2">
      <c r="A1741" s="820">
        <v>1737</v>
      </c>
      <c r="B1741" s="1085" t="str">
        <f t="shared" si="27"/>
        <v>Malaysia</v>
      </c>
      <c r="C1741" s="1070" t="s">
        <v>3205</v>
      </c>
      <c r="D1741" s="822"/>
      <c r="E1741" s="822"/>
      <c r="F1741" s="822"/>
      <c r="G1741" s="822"/>
      <c r="H1741" s="822"/>
    </row>
    <row r="1742" spans="1:8" x14ac:dyDescent="0.2">
      <c r="A1742" s="820">
        <v>1738</v>
      </c>
      <c r="B1742" s="1085" t="str">
        <f t="shared" si="27"/>
        <v>SDR (Special Drawing Right)</v>
      </c>
      <c r="C1742" s="1070" t="s">
        <v>3853</v>
      </c>
      <c r="D1742" s="822"/>
      <c r="E1742" s="822"/>
      <c r="F1742" s="822"/>
      <c r="G1742" s="822"/>
      <c r="H1742" s="822"/>
    </row>
    <row r="1743" spans="1:8" x14ac:dyDescent="0.2">
      <c r="A1743" s="820">
        <v>1739</v>
      </c>
      <c r="B1743" s="1085" t="str">
        <f t="shared" si="27"/>
        <v>Mozambique</v>
      </c>
      <c r="C1743" s="1070" t="s">
        <v>3206</v>
      </c>
      <c r="D1743" s="822"/>
      <c r="E1743" s="822"/>
      <c r="F1743" s="822"/>
      <c r="G1743" s="822"/>
      <c r="H1743" s="822"/>
    </row>
    <row r="1744" spans="1:8" x14ac:dyDescent="0.2">
      <c r="A1744" s="820">
        <v>1740</v>
      </c>
      <c r="B1744" s="1085" t="str">
        <f t="shared" si="27"/>
        <v>CFA Franc BCEAO</v>
      </c>
      <c r="C1744" s="1070" t="s">
        <v>3855</v>
      </c>
      <c r="D1744" s="822"/>
      <c r="E1744" s="822"/>
      <c r="F1744" s="822"/>
      <c r="G1744" s="822"/>
      <c r="H1744" s="822"/>
    </row>
    <row r="1745" spans="1:8" x14ac:dyDescent="0.2">
      <c r="A1745" s="820">
        <v>1741</v>
      </c>
      <c r="B1745" s="1085" t="str">
        <f t="shared" si="27"/>
        <v>Namibia</v>
      </c>
      <c r="C1745" s="1070" t="s">
        <v>3207</v>
      </c>
      <c r="D1745" s="822"/>
      <c r="E1745" s="822"/>
      <c r="F1745" s="822"/>
      <c r="G1745" s="822"/>
      <c r="H1745" s="822"/>
    </row>
    <row r="1746" spans="1:8" x14ac:dyDescent="0.2">
      <c r="A1746" s="820">
        <v>1742</v>
      </c>
      <c r="B1746" s="1085" t="str">
        <f t="shared" si="27"/>
        <v>CFP Franc</v>
      </c>
      <c r="C1746" s="1070" t="s">
        <v>3857</v>
      </c>
      <c r="D1746" s="822"/>
      <c r="E1746" s="822"/>
      <c r="F1746" s="822"/>
      <c r="G1746" s="822"/>
      <c r="H1746" s="822"/>
    </row>
    <row r="1747" spans="1:8" x14ac:dyDescent="0.2">
      <c r="A1747" s="820">
        <v>1743</v>
      </c>
      <c r="B1747" s="1085" t="str">
        <f t="shared" si="27"/>
        <v>New Caledonia</v>
      </c>
      <c r="C1747" s="1070" t="s">
        <v>3208</v>
      </c>
      <c r="D1747" s="822"/>
      <c r="E1747" s="822"/>
      <c r="F1747" s="822"/>
      <c r="G1747" s="822"/>
      <c r="H1747" s="822"/>
    </row>
    <row r="1748" spans="1:8" x14ac:dyDescent="0.2">
      <c r="A1748" s="820">
        <v>1744</v>
      </c>
      <c r="B1748" s="1085" t="str">
        <f t="shared" si="27"/>
        <v>Yemeni Rial</v>
      </c>
      <c r="C1748" s="1070" t="s">
        <v>3859</v>
      </c>
      <c r="D1748" s="822"/>
      <c r="E1748" s="822"/>
      <c r="F1748" s="822"/>
      <c r="G1748" s="822"/>
      <c r="H1748" s="822"/>
    </row>
    <row r="1749" spans="1:8" x14ac:dyDescent="0.2">
      <c r="A1749" s="820">
        <v>1745</v>
      </c>
      <c r="B1749" s="1085" t="str">
        <f t="shared" si="27"/>
        <v>Niger</v>
      </c>
      <c r="C1749" s="1070" t="s">
        <v>3209</v>
      </c>
      <c r="D1749" s="822"/>
      <c r="E1749" s="822"/>
      <c r="F1749" s="822"/>
      <c r="G1749" s="822"/>
      <c r="H1749" s="822"/>
    </row>
    <row r="1750" spans="1:8" x14ac:dyDescent="0.2">
      <c r="A1750" s="820">
        <v>1746</v>
      </c>
      <c r="B1750" s="1085" t="str">
        <f t="shared" si="27"/>
        <v>Rand</v>
      </c>
      <c r="C1750" s="1070" t="s">
        <v>3861</v>
      </c>
      <c r="D1750" s="822"/>
      <c r="E1750" s="822"/>
      <c r="F1750" s="822"/>
      <c r="G1750" s="822"/>
      <c r="H1750" s="822"/>
    </row>
    <row r="1751" spans="1:8" x14ac:dyDescent="0.2">
      <c r="A1751" s="820">
        <v>1747</v>
      </c>
      <c r="B1751" s="1085" t="str">
        <f t="shared" si="27"/>
        <v>Norfolk Island</v>
      </c>
      <c r="C1751" s="1070" t="s">
        <v>3210</v>
      </c>
      <c r="D1751" s="822"/>
      <c r="E1751" s="822"/>
      <c r="F1751" s="822"/>
      <c r="G1751" s="822"/>
      <c r="H1751" s="822"/>
    </row>
    <row r="1752" spans="1:8" x14ac:dyDescent="0.2">
      <c r="A1752" s="820">
        <v>1748</v>
      </c>
      <c r="B1752" s="1085" t="str">
        <f t="shared" si="27"/>
        <v>Zambian Kwacha</v>
      </c>
      <c r="C1752" s="1070" t="s">
        <v>3863</v>
      </c>
      <c r="D1752" s="822"/>
      <c r="E1752" s="822"/>
      <c r="F1752" s="822"/>
      <c r="G1752" s="822"/>
      <c r="H1752" s="822"/>
    </row>
    <row r="1753" spans="1:8" x14ac:dyDescent="0.2">
      <c r="A1753" s="820">
        <v>1749</v>
      </c>
      <c r="B1753" s="1085" t="str">
        <f t="shared" si="27"/>
        <v>Nigeria</v>
      </c>
      <c r="C1753" s="1070" t="s">
        <v>3211</v>
      </c>
      <c r="D1753" s="822"/>
      <c r="E1753" s="822"/>
      <c r="F1753" s="822"/>
      <c r="G1753" s="822"/>
      <c r="H1753" s="822"/>
    </row>
    <row r="1754" spans="1:8" x14ac:dyDescent="0.2">
      <c r="A1754" s="820">
        <v>1750</v>
      </c>
      <c r="B1754" s="1085" t="str">
        <f t="shared" si="27"/>
        <v>Zimbabwe Dollar</v>
      </c>
      <c r="C1754" s="1070" t="s">
        <v>3865</v>
      </c>
      <c r="D1754" s="822"/>
      <c r="E1754" s="822"/>
      <c r="F1754" s="822"/>
      <c r="G1754" s="822"/>
      <c r="H1754" s="822"/>
    </row>
    <row r="1755" spans="1:8" x14ac:dyDescent="0.2">
      <c r="A1755" s="820">
        <v>1751</v>
      </c>
      <c r="B1755" s="1085" t="str">
        <f t="shared" si="27"/>
        <v>Nicaragua</v>
      </c>
      <c r="C1755" s="1070" t="s">
        <v>3212</v>
      </c>
      <c r="D1755" s="822"/>
      <c r="E1755" s="822"/>
      <c r="F1755" s="822"/>
      <c r="G1755" s="822"/>
      <c r="H1755" s="822"/>
    </row>
    <row r="1756" spans="1:8" x14ac:dyDescent="0.2">
      <c r="A1756" s="820">
        <v>1752</v>
      </c>
      <c r="B1756" s="1085" t="str">
        <f t="shared" si="27"/>
        <v>Nepal</v>
      </c>
      <c r="C1756" s="1070" t="s">
        <v>3213</v>
      </c>
      <c r="D1756" s="822"/>
      <c r="E1756" s="822"/>
      <c r="F1756" s="822"/>
      <c r="G1756" s="822"/>
      <c r="H1756" s="822"/>
    </row>
    <row r="1757" spans="1:8" x14ac:dyDescent="0.2">
      <c r="A1757" s="820">
        <v>1753</v>
      </c>
      <c r="B1757" s="1085" t="str">
        <f t="shared" si="27"/>
        <v>Nauru</v>
      </c>
      <c r="C1757" s="1070" t="s">
        <v>3214</v>
      </c>
      <c r="D1757" s="822"/>
      <c r="E1757" s="822"/>
      <c r="F1757" s="822"/>
      <c r="G1757" s="822"/>
      <c r="H1757" s="822"/>
    </row>
    <row r="1758" spans="1:8" x14ac:dyDescent="0.2">
      <c r="A1758" s="820">
        <v>1754</v>
      </c>
      <c r="B1758" s="1085" t="str">
        <f t="shared" si="27"/>
        <v>Niue</v>
      </c>
      <c r="C1758" s="1070" t="s">
        <v>3215</v>
      </c>
      <c r="D1758" s="822"/>
      <c r="E1758" s="822"/>
      <c r="F1758" s="822"/>
      <c r="G1758" s="822"/>
      <c r="H1758" s="822"/>
    </row>
    <row r="1759" spans="1:8" x14ac:dyDescent="0.2">
      <c r="A1759" s="820">
        <v>1755</v>
      </c>
      <c r="B1759" s="1085" t="str">
        <f t="shared" si="27"/>
        <v>New Zealand</v>
      </c>
      <c r="C1759" s="1070" t="s">
        <v>3216</v>
      </c>
      <c r="D1759" s="822"/>
      <c r="E1759" s="822"/>
      <c r="F1759" s="822"/>
      <c r="G1759" s="822"/>
      <c r="H1759" s="822"/>
    </row>
    <row r="1760" spans="1:8" x14ac:dyDescent="0.2">
      <c r="A1760" s="820">
        <v>1756</v>
      </c>
      <c r="B1760" s="1085" t="str">
        <f t="shared" si="27"/>
        <v>Oman</v>
      </c>
      <c r="C1760" s="1070" t="s">
        <v>3217</v>
      </c>
      <c r="D1760" s="822"/>
      <c r="E1760" s="822"/>
      <c r="F1760" s="822"/>
      <c r="G1760" s="822"/>
      <c r="H1760" s="822"/>
    </row>
    <row r="1761" spans="1:8" x14ac:dyDescent="0.2">
      <c r="A1761" s="820">
        <v>1757</v>
      </c>
      <c r="B1761" s="1085" t="str">
        <f t="shared" si="27"/>
        <v>Panama</v>
      </c>
      <c r="C1761" s="1070" t="s">
        <v>3218</v>
      </c>
      <c r="D1761" s="822"/>
      <c r="E1761" s="822"/>
      <c r="F1761" s="822"/>
      <c r="G1761" s="822"/>
      <c r="H1761" s="822"/>
    </row>
    <row r="1762" spans="1:8" x14ac:dyDescent="0.2">
      <c r="A1762" s="820">
        <v>1758</v>
      </c>
      <c r="B1762" s="1085" t="str">
        <f t="shared" si="27"/>
        <v>Peru</v>
      </c>
      <c r="C1762" s="1070" t="s">
        <v>3219</v>
      </c>
      <c r="D1762" s="822"/>
      <c r="E1762" s="822"/>
      <c r="F1762" s="822"/>
      <c r="G1762" s="822"/>
      <c r="H1762" s="822"/>
    </row>
    <row r="1763" spans="1:8" x14ac:dyDescent="0.2">
      <c r="A1763" s="820">
        <v>1759</v>
      </c>
      <c r="B1763" s="1085" t="str">
        <f t="shared" si="27"/>
        <v>French Polynesia</v>
      </c>
      <c r="C1763" s="1070" t="s">
        <v>3220</v>
      </c>
      <c r="D1763" s="822"/>
      <c r="E1763" s="822"/>
      <c r="F1763" s="822"/>
      <c r="G1763" s="822"/>
      <c r="H1763" s="822"/>
    </row>
    <row r="1764" spans="1:8" x14ac:dyDescent="0.2">
      <c r="A1764" s="820">
        <v>1760</v>
      </c>
      <c r="B1764" s="1085" t="str">
        <f t="shared" si="27"/>
        <v>Papua New Guinea</v>
      </c>
      <c r="C1764" s="1070" t="s">
        <v>3221</v>
      </c>
      <c r="D1764" s="822"/>
      <c r="E1764" s="822"/>
      <c r="F1764" s="822"/>
      <c r="G1764" s="822"/>
      <c r="H1764" s="822"/>
    </row>
    <row r="1765" spans="1:8" x14ac:dyDescent="0.2">
      <c r="A1765" s="820">
        <v>1761</v>
      </c>
      <c r="B1765" s="1085" t="str">
        <f t="shared" si="27"/>
        <v>Philippines</v>
      </c>
      <c r="C1765" s="1070" t="s">
        <v>3222</v>
      </c>
      <c r="D1765" s="822"/>
      <c r="E1765" s="822"/>
      <c r="F1765" s="822"/>
      <c r="G1765" s="822"/>
      <c r="H1765" s="822"/>
    </row>
    <row r="1766" spans="1:8" x14ac:dyDescent="0.2">
      <c r="A1766" s="820">
        <v>1762</v>
      </c>
      <c r="B1766" s="1085" t="str">
        <f t="shared" si="27"/>
        <v>Pakistan</v>
      </c>
      <c r="C1766" s="1070" t="s">
        <v>3223</v>
      </c>
      <c r="D1766" s="822"/>
      <c r="E1766" s="822"/>
      <c r="F1766" s="822"/>
      <c r="G1766" s="822"/>
      <c r="H1766" s="822"/>
    </row>
    <row r="1767" spans="1:8" x14ac:dyDescent="0.2">
      <c r="A1767" s="820">
        <v>1763</v>
      </c>
      <c r="B1767" s="1085" t="str">
        <f t="shared" si="27"/>
        <v>St Pierre and Miquelon</v>
      </c>
      <c r="C1767" s="1070" t="s">
        <v>3224</v>
      </c>
      <c r="D1767" s="822"/>
      <c r="E1767" s="822"/>
      <c r="F1767" s="822"/>
      <c r="G1767" s="822"/>
      <c r="H1767" s="822"/>
    </row>
    <row r="1768" spans="1:8" x14ac:dyDescent="0.2">
      <c r="A1768" s="820">
        <v>1764</v>
      </c>
      <c r="B1768" s="1085" t="str">
        <f t="shared" si="27"/>
        <v>Pitcairn</v>
      </c>
      <c r="C1768" s="1070" t="s">
        <v>3225</v>
      </c>
      <c r="D1768" s="822"/>
      <c r="E1768" s="822"/>
      <c r="F1768" s="822"/>
      <c r="G1768" s="822"/>
      <c r="H1768" s="822"/>
    </row>
    <row r="1769" spans="1:8" x14ac:dyDescent="0.2">
      <c r="A1769" s="820">
        <v>1765</v>
      </c>
      <c r="B1769" s="1085" t="str">
        <f t="shared" si="27"/>
        <v>Puerto Rico</v>
      </c>
      <c r="C1769" s="1070" t="s">
        <v>3226</v>
      </c>
      <c r="D1769" s="822"/>
      <c r="E1769" s="822"/>
      <c r="F1769" s="822"/>
      <c r="G1769" s="822"/>
      <c r="H1769" s="822"/>
    </row>
    <row r="1770" spans="1:8" x14ac:dyDescent="0.2">
      <c r="A1770" s="820">
        <v>1766</v>
      </c>
      <c r="B1770" s="1085" t="str">
        <f t="shared" si="27"/>
        <v>Occupied Palestinian Territory</v>
      </c>
      <c r="C1770" s="1070" t="s">
        <v>3227</v>
      </c>
      <c r="D1770" s="822"/>
      <c r="E1770" s="822"/>
      <c r="F1770" s="822"/>
      <c r="G1770" s="822"/>
      <c r="H1770" s="822"/>
    </row>
    <row r="1771" spans="1:8" x14ac:dyDescent="0.2">
      <c r="A1771" s="820">
        <v>1767</v>
      </c>
      <c r="B1771" s="1085" t="str">
        <f t="shared" si="27"/>
        <v>Palau</v>
      </c>
      <c r="C1771" s="1070" t="s">
        <v>3228</v>
      </c>
      <c r="D1771" s="822"/>
      <c r="E1771" s="822"/>
      <c r="F1771" s="822"/>
      <c r="G1771" s="822"/>
      <c r="H1771" s="822"/>
    </row>
    <row r="1772" spans="1:8" x14ac:dyDescent="0.2">
      <c r="A1772" s="820">
        <v>1768</v>
      </c>
      <c r="B1772" s="1085" t="str">
        <f t="shared" si="27"/>
        <v>Paraguay</v>
      </c>
      <c r="C1772" s="1070" t="s">
        <v>3229</v>
      </c>
      <c r="D1772" s="822"/>
      <c r="E1772" s="822"/>
      <c r="F1772" s="822"/>
      <c r="G1772" s="822"/>
      <c r="H1772" s="822"/>
    </row>
    <row r="1773" spans="1:8" x14ac:dyDescent="0.2">
      <c r="A1773" s="820">
        <v>1769</v>
      </c>
      <c r="B1773" s="1085" t="str">
        <f t="shared" si="27"/>
        <v>Qatar</v>
      </c>
      <c r="C1773" s="1070" t="s">
        <v>3230</v>
      </c>
      <c r="D1773" s="822"/>
      <c r="E1773" s="822"/>
      <c r="F1773" s="822"/>
      <c r="G1773" s="822"/>
      <c r="H1773" s="822"/>
    </row>
    <row r="1774" spans="1:8" x14ac:dyDescent="0.2">
      <c r="A1774" s="820">
        <v>1770</v>
      </c>
      <c r="B1774" s="1085" t="str">
        <f t="shared" si="27"/>
        <v>High seas</v>
      </c>
      <c r="C1774" s="1070" t="s">
        <v>3231</v>
      </c>
      <c r="D1774" s="822"/>
      <c r="E1774" s="822"/>
      <c r="F1774" s="822"/>
      <c r="G1774" s="822"/>
      <c r="H1774" s="822"/>
    </row>
    <row r="1775" spans="1:8" x14ac:dyDescent="0.2">
      <c r="A1775" s="820">
        <v>1771</v>
      </c>
      <c r="B1775" s="1085" t="str">
        <f t="shared" si="27"/>
        <v>Réunion</v>
      </c>
      <c r="C1775" s="1070" t="s">
        <v>3232</v>
      </c>
      <c r="D1775" s="822"/>
      <c r="E1775" s="822"/>
      <c r="F1775" s="822"/>
      <c r="G1775" s="822"/>
      <c r="H1775" s="822"/>
    </row>
    <row r="1776" spans="1:8" x14ac:dyDescent="0.2">
      <c r="A1776" s="820">
        <v>1772</v>
      </c>
      <c r="B1776" s="1085" t="str">
        <f t="shared" si="27"/>
        <v>Serbia</v>
      </c>
      <c r="C1776" s="1070" t="s">
        <v>3233</v>
      </c>
      <c r="D1776" s="822"/>
      <c r="E1776" s="822"/>
      <c r="F1776" s="822"/>
      <c r="G1776" s="822"/>
      <c r="H1776" s="822"/>
    </row>
    <row r="1777" spans="1:8" x14ac:dyDescent="0.2">
      <c r="A1777" s="820">
        <v>1773</v>
      </c>
      <c r="B1777" s="1085" t="str">
        <f t="shared" si="27"/>
        <v>Russian Federation</v>
      </c>
      <c r="C1777" s="1070" t="s">
        <v>3234</v>
      </c>
      <c r="D1777" s="822"/>
      <c r="E1777" s="822"/>
      <c r="F1777" s="822"/>
      <c r="G1777" s="822"/>
      <c r="H1777" s="822"/>
    </row>
    <row r="1778" spans="1:8" x14ac:dyDescent="0.2">
      <c r="A1778" s="820">
        <v>1774</v>
      </c>
      <c r="B1778" s="1085" t="str">
        <f t="shared" si="27"/>
        <v>Rwanda</v>
      </c>
      <c r="C1778" s="1070" t="s">
        <v>3235</v>
      </c>
      <c r="D1778" s="822"/>
      <c r="E1778" s="822"/>
      <c r="F1778" s="822"/>
      <c r="G1778" s="822"/>
      <c r="H1778" s="822"/>
    </row>
    <row r="1779" spans="1:8" x14ac:dyDescent="0.2">
      <c r="A1779" s="820">
        <v>1775</v>
      </c>
      <c r="B1779" s="1085" t="str">
        <f t="shared" si="27"/>
        <v>Saudi Arabia</v>
      </c>
      <c r="C1779" s="1070" t="s">
        <v>3236</v>
      </c>
      <c r="D1779" s="822"/>
      <c r="E1779" s="822"/>
      <c r="F1779" s="822"/>
      <c r="G1779" s="822"/>
      <c r="H1779" s="822"/>
    </row>
    <row r="1780" spans="1:8" x14ac:dyDescent="0.2">
      <c r="A1780" s="820">
        <v>1776</v>
      </c>
      <c r="B1780" s="1085" t="str">
        <f t="shared" si="27"/>
        <v>Solomon Islands</v>
      </c>
      <c r="C1780" s="1070" t="s">
        <v>3237</v>
      </c>
      <c r="D1780" s="822"/>
      <c r="E1780" s="822"/>
      <c r="F1780" s="822"/>
      <c r="G1780" s="822"/>
      <c r="H1780" s="822"/>
    </row>
    <row r="1781" spans="1:8" x14ac:dyDescent="0.2">
      <c r="A1781" s="820">
        <v>1777</v>
      </c>
      <c r="B1781" s="1085" t="str">
        <f t="shared" si="27"/>
        <v>Seychelles</v>
      </c>
      <c r="C1781" s="1070" t="s">
        <v>3238</v>
      </c>
      <c r="D1781" s="822"/>
      <c r="E1781" s="822"/>
      <c r="F1781" s="822"/>
      <c r="G1781" s="822"/>
      <c r="H1781" s="822"/>
    </row>
    <row r="1782" spans="1:8" x14ac:dyDescent="0.2">
      <c r="A1782" s="820">
        <v>1778</v>
      </c>
      <c r="B1782" s="1085" t="str">
        <f t="shared" si="27"/>
        <v>Sudan</v>
      </c>
      <c r="C1782" s="1070" t="s">
        <v>3239</v>
      </c>
      <c r="D1782" s="822"/>
      <c r="E1782" s="822"/>
      <c r="F1782" s="822"/>
      <c r="G1782" s="822"/>
      <c r="H1782" s="822"/>
    </row>
    <row r="1783" spans="1:8" x14ac:dyDescent="0.2">
      <c r="A1783" s="820">
        <v>1779</v>
      </c>
      <c r="B1783" s="1085" t="str">
        <f t="shared" si="27"/>
        <v>Singapore</v>
      </c>
      <c r="C1783" s="1070" t="s">
        <v>3240</v>
      </c>
      <c r="D1783" s="822"/>
      <c r="E1783" s="822"/>
      <c r="F1783" s="822"/>
      <c r="G1783" s="822"/>
      <c r="H1783" s="822"/>
    </row>
    <row r="1784" spans="1:8" x14ac:dyDescent="0.2">
      <c r="A1784" s="820">
        <v>1780</v>
      </c>
      <c r="B1784" s="1085" t="str">
        <f t="shared" si="27"/>
        <v>Saint Helena, Ascension and Tristan</v>
      </c>
      <c r="C1784" s="1070" t="s">
        <v>3241</v>
      </c>
      <c r="D1784" s="822"/>
      <c r="E1784" s="822"/>
      <c r="F1784" s="822"/>
      <c r="G1784" s="822"/>
      <c r="H1784" s="822"/>
    </row>
    <row r="1785" spans="1:8" x14ac:dyDescent="0.2">
      <c r="A1785" s="820">
        <v>1781</v>
      </c>
      <c r="B1785" s="1085" t="str">
        <f t="shared" si="27"/>
        <v>Svalbard and Jan Mayen Islands</v>
      </c>
      <c r="C1785" s="1070" t="s">
        <v>3242</v>
      </c>
      <c r="D1785" s="822"/>
      <c r="E1785" s="822"/>
      <c r="F1785" s="822"/>
      <c r="G1785" s="822"/>
      <c r="H1785" s="822"/>
    </row>
    <row r="1786" spans="1:8" x14ac:dyDescent="0.2">
      <c r="A1786" s="820">
        <v>1782</v>
      </c>
      <c r="B1786" s="1085" t="str">
        <f t="shared" si="27"/>
        <v>Sierra Leone</v>
      </c>
      <c r="C1786" s="1070" t="s">
        <v>3243</v>
      </c>
      <c r="D1786" s="822"/>
      <c r="E1786" s="822"/>
      <c r="F1786" s="822"/>
      <c r="G1786" s="822"/>
      <c r="H1786" s="822"/>
    </row>
    <row r="1787" spans="1:8" x14ac:dyDescent="0.2">
      <c r="A1787" s="820">
        <v>1783</v>
      </c>
      <c r="B1787" s="1085" t="str">
        <f t="shared" si="27"/>
        <v>San Marino</v>
      </c>
      <c r="C1787" s="1070" t="s">
        <v>3244</v>
      </c>
      <c r="D1787" s="822"/>
      <c r="E1787" s="822"/>
      <c r="F1787" s="822"/>
      <c r="G1787" s="822"/>
      <c r="H1787" s="822"/>
    </row>
    <row r="1788" spans="1:8" x14ac:dyDescent="0.2">
      <c r="A1788" s="820">
        <v>1784</v>
      </c>
      <c r="B1788" s="1085" t="str">
        <f t="shared" si="27"/>
        <v>Senegal</v>
      </c>
      <c r="C1788" s="1070" t="s">
        <v>3245</v>
      </c>
      <c r="D1788" s="822"/>
      <c r="E1788" s="822"/>
      <c r="F1788" s="822"/>
      <c r="G1788" s="822"/>
      <c r="H1788" s="822"/>
    </row>
    <row r="1789" spans="1:8" x14ac:dyDescent="0.2">
      <c r="A1789" s="820">
        <v>1785</v>
      </c>
      <c r="B1789" s="1085" t="str">
        <f t="shared" si="27"/>
        <v>Somalia</v>
      </c>
      <c r="C1789" s="1070" t="s">
        <v>3246</v>
      </c>
      <c r="D1789" s="822"/>
      <c r="E1789" s="822"/>
      <c r="F1789" s="822"/>
      <c r="G1789" s="822"/>
      <c r="H1789" s="822"/>
    </row>
    <row r="1790" spans="1:8" x14ac:dyDescent="0.2">
      <c r="A1790" s="820">
        <v>1786</v>
      </c>
      <c r="B1790" s="1085" t="str">
        <f t="shared" si="27"/>
        <v>Suriname</v>
      </c>
      <c r="C1790" s="1070" t="s">
        <v>3247</v>
      </c>
      <c r="D1790" s="822"/>
      <c r="E1790" s="822"/>
      <c r="F1790" s="822"/>
      <c r="G1790" s="822"/>
      <c r="H1790" s="822"/>
    </row>
    <row r="1791" spans="1:8" x14ac:dyDescent="0.2">
      <c r="A1791" s="820">
        <v>1787</v>
      </c>
      <c r="B1791" s="1085" t="str">
        <f t="shared" si="27"/>
        <v>South Sudan</v>
      </c>
      <c r="C1791" s="1070" t="s">
        <v>3248</v>
      </c>
      <c r="D1791" s="822"/>
      <c r="E1791" s="822"/>
      <c r="F1791" s="822"/>
      <c r="G1791" s="822"/>
      <c r="H1791" s="822"/>
    </row>
    <row r="1792" spans="1:8" x14ac:dyDescent="0.2">
      <c r="A1792" s="820">
        <v>1788</v>
      </c>
      <c r="B1792" s="1085" t="str">
        <f t="shared" si="27"/>
        <v>Sao Tome and Principe</v>
      </c>
      <c r="C1792" s="1070" t="s">
        <v>3249</v>
      </c>
      <c r="D1792" s="822"/>
      <c r="E1792" s="822"/>
      <c r="F1792" s="822"/>
      <c r="G1792" s="822"/>
      <c r="H1792" s="822"/>
    </row>
    <row r="1793" spans="1:8" x14ac:dyDescent="0.2">
      <c r="A1793" s="820">
        <v>1789</v>
      </c>
      <c r="B1793" s="1085" t="str">
        <f t="shared" si="27"/>
        <v>El Salvador</v>
      </c>
      <c r="C1793" s="1070" t="s">
        <v>3250</v>
      </c>
      <c r="D1793" s="822"/>
      <c r="E1793" s="822"/>
      <c r="F1793" s="822"/>
      <c r="G1793" s="822"/>
      <c r="H1793" s="822"/>
    </row>
    <row r="1794" spans="1:8" x14ac:dyDescent="0.2">
      <c r="A1794" s="820">
        <v>1790</v>
      </c>
      <c r="B1794" s="1085" t="str">
        <f t="shared" si="27"/>
        <v>Sint Maarten (Dutch part)</v>
      </c>
      <c r="C1794" s="1070" t="s">
        <v>3251</v>
      </c>
      <c r="D1794" s="822"/>
      <c r="E1794" s="822"/>
      <c r="F1794" s="822"/>
      <c r="G1794" s="822"/>
      <c r="H1794" s="822"/>
    </row>
    <row r="1795" spans="1:8" x14ac:dyDescent="0.2">
      <c r="A1795" s="820">
        <v>1791</v>
      </c>
      <c r="B1795" s="1085" t="str">
        <f t="shared" si="27"/>
        <v>Syrian Arab Republic</v>
      </c>
      <c r="C1795" s="1070" t="s">
        <v>3252</v>
      </c>
      <c r="D1795" s="822"/>
      <c r="E1795" s="822"/>
      <c r="F1795" s="822"/>
      <c r="G1795" s="822"/>
      <c r="H1795" s="822"/>
    </row>
    <row r="1796" spans="1:8" x14ac:dyDescent="0.2">
      <c r="A1796" s="820">
        <v>1792</v>
      </c>
      <c r="B1796" s="1085" t="str">
        <f t="shared" si="27"/>
        <v>Swaziland</v>
      </c>
      <c r="C1796" s="1070" t="s">
        <v>3253</v>
      </c>
      <c r="D1796" s="822"/>
      <c r="E1796" s="822"/>
      <c r="F1796" s="822"/>
      <c r="G1796" s="822"/>
      <c r="H1796" s="822"/>
    </row>
    <row r="1797" spans="1:8" x14ac:dyDescent="0.2">
      <c r="A1797" s="820">
        <v>1793</v>
      </c>
      <c r="B1797" s="1085" t="str">
        <f t="shared" si="27"/>
        <v>Turks and Caicos Islands</v>
      </c>
      <c r="C1797" s="1070" t="s">
        <v>3254</v>
      </c>
      <c r="D1797" s="822"/>
      <c r="E1797" s="822"/>
      <c r="F1797" s="822"/>
      <c r="G1797" s="822"/>
      <c r="H1797" s="822"/>
    </row>
    <row r="1798" spans="1:8" x14ac:dyDescent="0.2">
      <c r="A1798" s="820">
        <v>1794</v>
      </c>
      <c r="B1798" s="1085" t="str">
        <f t="shared" ref="B1798:B1861" si="28">IFERROR(INDEX(C1798:M1798,$A$3-2),$C1798)</f>
        <v>Chad</v>
      </c>
      <c r="C1798" s="1070" t="s">
        <v>3255</v>
      </c>
      <c r="D1798" s="822"/>
      <c r="E1798" s="822"/>
      <c r="F1798" s="822"/>
      <c r="G1798" s="822"/>
      <c r="H1798" s="822"/>
    </row>
    <row r="1799" spans="1:8" x14ac:dyDescent="0.2">
      <c r="A1799" s="820">
        <v>1795</v>
      </c>
      <c r="B1799" s="1085" t="str">
        <f t="shared" si="28"/>
        <v>French Southern Territories</v>
      </c>
      <c r="C1799" s="1070" t="s">
        <v>3256</v>
      </c>
      <c r="D1799" s="822"/>
      <c r="E1799" s="822"/>
      <c r="F1799" s="822"/>
      <c r="G1799" s="822"/>
      <c r="H1799" s="822"/>
    </row>
    <row r="1800" spans="1:8" x14ac:dyDescent="0.2">
      <c r="A1800" s="820">
        <v>1796</v>
      </c>
      <c r="B1800" s="1085" t="str">
        <f t="shared" si="28"/>
        <v>Togo</v>
      </c>
      <c r="C1800" s="1070" t="s">
        <v>3257</v>
      </c>
      <c r="D1800" s="822"/>
      <c r="E1800" s="822"/>
      <c r="F1800" s="822"/>
      <c r="G1800" s="822"/>
      <c r="H1800" s="822"/>
    </row>
    <row r="1801" spans="1:8" x14ac:dyDescent="0.2">
      <c r="A1801" s="820">
        <v>1797</v>
      </c>
      <c r="B1801" s="1085" t="str">
        <f t="shared" si="28"/>
        <v>Thailand</v>
      </c>
      <c r="C1801" s="1070" t="s">
        <v>3258</v>
      </c>
      <c r="D1801" s="822"/>
      <c r="E1801" s="822"/>
      <c r="F1801" s="822"/>
      <c r="G1801" s="822"/>
      <c r="H1801" s="822"/>
    </row>
    <row r="1802" spans="1:8" x14ac:dyDescent="0.2">
      <c r="A1802" s="820">
        <v>1798</v>
      </c>
      <c r="B1802" s="1085" t="str">
        <f t="shared" si="28"/>
        <v>Tajikistan</v>
      </c>
      <c r="C1802" s="1070" t="s">
        <v>3259</v>
      </c>
      <c r="D1802" s="822"/>
      <c r="E1802" s="822"/>
      <c r="F1802" s="822"/>
      <c r="G1802" s="822"/>
      <c r="H1802" s="822"/>
    </row>
    <row r="1803" spans="1:8" x14ac:dyDescent="0.2">
      <c r="A1803" s="820">
        <v>1799</v>
      </c>
      <c r="B1803" s="1085" t="str">
        <f t="shared" si="28"/>
        <v>Tokelau</v>
      </c>
      <c r="C1803" s="1070" t="s">
        <v>3260</v>
      </c>
      <c r="D1803" s="822"/>
      <c r="E1803" s="822"/>
      <c r="F1803" s="822"/>
      <c r="G1803" s="822"/>
      <c r="H1803" s="822"/>
    </row>
    <row r="1804" spans="1:8" x14ac:dyDescent="0.2">
      <c r="A1804" s="820">
        <v>1800</v>
      </c>
      <c r="B1804" s="1085" t="str">
        <f t="shared" si="28"/>
        <v>Timor-Leste</v>
      </c>
      <c r="C1804" s="1070" t="s">
        <v>3261</v>
      </c>
      <c r="D1804" s="822"/>
      <c r="E1804" s="822"/>
      <c r="F1804" s="822"/>
      <c r="G1804" s="822"/>
      <c r="H1804" s="822"/>
    </row>
    <row r="1805" spans="1:8" x14ac:dyDescent="0.2">
      <c r="A1805" s="820">
        <v>1801</v>
      </c>
      <c r="B1805" s="1085" t="str">
        <f t="shared" si="28"/>
        <v>Turkmenistan</v>
      </c>
      <c r="C1805" s="1070" t="s">
        <v>3262</v>
      </c>
      <c r="D1805" s="822"/>
      <c r="E1805" s="822"/>
      <c r="F1805" s="822"/>
      <c r="G1805" s="822"/>
      <c r="H1805" s="822"/>
    </row>
    <row r="1806" spans="1:8" x14ac:dyDescent="0.2">
      <c r="A1806" s="820">
        <v>1802</v>
      </c>
      <c r="B1806" s="1085" t="str">
        <f t="shared" si="28"/>
        <v>Tunisia</v>
      </c>
      <c r="C1806" s="1070" t="s">
        <v>3263</v>
      </c>
      <c r="D1806" s="822"/>
      <c r="E1806" s="822"/>
      <c r="F1806" s="822"/>
      <c r="G1806" s="822"/>
      <c r="H1806" s="822"/>
    </row>
    <row r="1807" spans="1:8" x14ac:dyDescent="0.2">
      <c r="A1807" s="820">
        <v>1803</v>
      </c>
      <c r="B1807" s="1085" t="str">
        <f t="shared" si="28"/>
        <v>Tonga</v>
      </c>
      <c r="C1807" s="1070" t="s">
        <v>3264</v>
      </c>
      <c r="D1807" s="822"/>
      <c r="E1807" s="822"/>
      <c r="F1807" s="822"/>
      <c r="G1807" s="822"/>
      <c r="H1807" s="822"/>
    </row>
    <row r="1808" spans="1:8" x14ac:dyDescent="0.2">
      <c r="A1808" s="820">
        <v>1804</v>
      </c>
      <c r="B1808" s="1085" t="str">
        <f t="shared" si="28"/>
        <v>East Timor</v>
      </c>
      <c r="C1808" s="1070" t="s">
        <v>3265</v>
      </c>
      <c r="D1808" s="822"/>
      <c r="E1808" s="822"/>
      <c r="F1808" s="822"/>
      <c r="G1808" s="822"/>
      <c r="H1808" s="822"/>
    </row>
    <row r="1809" spans="1:8" x14ac:dyDescent="0.2">
      <c r="A1809" s="820">
        <v>1805</v>
      </c>
      <c r="B1809" s="1085" t="str">
        <f t="shared" si="28"/>
        <v>Türkiye</v>
      </c>
      <c r="C1809" s="1070" t="s">
        <v>3266</v>
      </c>
      <c r="D1809" s="822"/>
      <c r="E1809" s="822"/>
      <c r="F1809" s="822"/>
      <c r="G1809" s="822"/>
      <c r="H1809" s="822"/>
    </row>
    <row r="1810" spans="1:8" x14ac:dyDescent="0.2">
      <c r="A1810" s="820">
        <v>1806</v>
      </c>
      <c r="B1810" s="1085" t="str">
        <f t="shared" si="28"/>
        <v>Trinidad and Tobago</v>
      </c>
      <c r="C1810" s="1070" t="s">
        <v>3267</v>
      </c>
      <c r="D1810" s="822"/>
      <c r="E1810" s="822"/>
      <c r="F1810" s="822"/>
      <c r="G1810" s="822"/>
      <c r="H1810" s="822"/>
    </row>
    <row r="1811" spans="1:8" x14ac:dyDescent="0.2">
      <c r="A1811" s="820">
        <v>1807</v>
      </c>
      <c r="B1811" s="1085" t="str">
        <f t="shared" si="28"/>
        <v>Tuvalu</v>
      </c>
      <c r="C1811" s="1070" t="s">
        <v>3268</v>
      </c>
      <c r="D1811" s="822"/>
      <c r="E1811" s="822"/>
      <c r="F1811" s="822"/>
      <c r="G1811" s="822"/>
      <c r="H1811" s="822"/>
    </row>
    <row r="1812" spans="1:8" x14ac:dyDescent="0.2">
      <c r="A1812" s="820">
        <v>1808</v>
      </c>
      <c r="B1812" s="1085" t="str">
        <f t="shared" si="28"/>
        <v>Taiwan</v>
      </c>
      <c r="C1812" s="1070" t="s">
        <v>3269</v>
      </c>
      <c r="D1812" s="822"/>
      <c r="E1812" s="822"/>
      <c r="F1812" s="822"/>
      <c r="G1812" s="822"/>
      <c r="H1812" s="822"/>
    </row>
    <row r="1813" spans="1:8" x14ac:dyDescent="0.2">
      <c r="A1813" s="820">
        <v>1809</v>
      </c>
      <c r="B1813" s="1085" t="str">
        <f t="shared" si="28"/>
        <v>Tanzania, United Republic of</v>
      </c>
      <c r="C1813" s="1070" t="s">
        <v>3270</v>
      </c>
      <c r="D1813" s="822"/>
      <c r="E1813" s="822"/>
      <c r="F1813" s="822"/>
      <c r="G1813" s="822"/>
      <c r="H1813" s="822"/>
    </row>
    <row r="1814" spans="1:8" x14ac:dyDescent="0.2">
      <c r="A1814" s="820">
        <v>1810</v>
      </c>
      <c r="B1814" s="1085" t="str">
        <f t="shared" si="28"/>
        <v>Ukraine</v>
      </c>
      <c r="C1814" s="1070" t="s">
        <v>3271</v>
      </c>
      <c r="D1814" s="822"/>
      <c r="E1814" s="822"/>
      <c r="F1814" s="822"/>
      <c r="G1814" s="822"/>
      <c r="H1814" s="822"/>
    </row>
    <row r="1815" spans="1:8" x14ac:dyDescent="0.2">
      <c r="A1815" s="820">
        <v>1811</v>
      </c>
      <c r="B1815" s="1085" t="str">
        <f t="shared" si="28"/>
        <v>Uganda</v>
      </c>
      <c r="C1815" s="1070" t="s">
        <v>3272</v>
      </c>
      <c r="D1815" s="822"/>
      <c r="E1815" s="822"/>
      <c r="F1815" s="822"/>
      <c r="G1815" s="822"/>
      <c r="H1815" s="822"/>
    </row>
    <row r="1816" spans="1:8" x14ac:dyDescent="0.2">
      <c r="A1816" s="820">
        <v>1812</v>
      </c>
      <c r="B1816" s="1085" t="str">
        <f t="shared" si="28"/>
        <v>United States Minor Outlying Island</v>
      </c>
      <c r="C1816" s="1070" t="s">
        <v>3273</v>
      </c>
      <c r="D1816" s="822"/>
      <c r="E1816" s="822"/>
      <c r="F1816" s="822"/>
      <c r="G1816" s="822"/>
      <c r="H1816" s="822"/>
    </row>
    <row r="1817" spans="1:8" x14ac:dyDescent="0.2">
      <c r="A1817" s="820">
        <v>1813</v>
      </c>
      <c r="B1817" s="1085" t="str">
        <f t="shared" si="28"/>
        <v>United States</v>
      </c>
      <c r="C1817" s="1070" t="s">
        <v>3274</v>
      </c>
      <c r="D1817" s="822"/>
      <c r="E1817" s="822"/>
      <c r="F1817" s="822"/>
      <c r="G1817" s="822"/>
      <c r="H1817" s="822"/>
    </row>
    <row r="1818" spans="1:8" x14ac:dyDescent="0.2">
      <c r="A1818" s="820">
        <v>1814</v>
      </c>
      <c r="B1818" s="1085" t="str">
        <f t="shared" si="28"/>
        <v>Uruguay</v>
      </c>
      <c r="C1818" s="1070" t="s">
        <v>3275</v>
      </c>
      <c r="D1818" s="822"/>
      <c r="E1818" s="822"/>
      <c r="F1818" s="822"/>
      <c r="G1818" s="822"/>
      <c r="H1818" s="822"/>
    </row>
    <row r="1819" spans="1:8" x14ac:dyDescent="0.2">
      <c r="A1819" s="820">
        <v>1815</v>
      </c>
      <c r="B1819" s="1085" t="str">
        <f t="shared" si="28"/>
        <v>Uzbekistan</v>
      </c>
      <c r="C1819" s="1070" t="s">
        <v>3276</v>
      </c>
      <c r="D1819" s="822"/>
      <c r="E1819" s="822"/>
      <c r="F1819" s="822"/>
      <c r="G1819" s="822"/>
      <c r="H1819" s="822"/>
    </row>
    <row r="1820" spans="1:8" x14ac:dyDescent="0.2">
      <c r="A1820" s="820">
        <v>1816</v>
      </c>
      <c r="B1820" s="1085" t="str">
        <f t="shared" si="28"/>
        <v>Vatican City</v>
      </c>
      <c r="C1820" s="1070" t="s">
        <v>3277</v>
      </c>
      <c r="D1820" s="822"/>
      <c r="E1820" s="822"/>
      <c r="F1820" s="822"/>
      <c r="G1820" s="822"/>
      <c r="H1820" s="822"/>
    </row>
    <row r="1821" spans="1:8" x14ac:dyDescent="0.2">
      <c r="A1821" s="820">
        <v>1817</v>
      </c>
      <c r="B1821" s="1085" t="str">
        <f t="shared" si="28"/>
        <v>St Vincent</v>
      </c>
      <c r="C1821" s="1070" t="s">
        <v>3278</v>
      </c>
      <c r="D1821" s="822"/>
      <c r="E1821" s="822"/>
      <c r="F1821" s="822"/>
      <c r="G1821" s="822"/>
      <c r="H1821" s="822"/>
    </row>
    <row r="1822" spans="1:8" x14ac:dyDescent="0.2">
      <c r="A1822" s="820">
        <v>1818</v>
      </c>
      <c r="B1822" s="1085" t="str">
        <f t="shared" si="28"/>
        <v>Venezuela</v>
      </c>
      <c r="C1822" s="1070" t="s">
        <v>3279</v>
      </c>
      <c r="D1822" s="822"/>
      <c r="E1822" s="822"/>
      <c r="F1822" s="822"/>
      <c r="G1822" s="822"/>
      <c r="H1822" s="822"/>
    </row>
    <row r="1823" spans="1:8" x14ac:dyDescent="0.2">
      <c r="A1823" s="820">
        <v>1819</v>
      </c>
      <c r="B1823" s="1085" t="str">
        <f t="shared" si="28"/>
        <v>British Virgin Islands</v>
      </c>
      <c r="C1823" s="1070" t="s">
        <v>3280</v>
      </c>
      <c r="D1823" s="822"/>
      <c r="E1823" s="822"/>
      <c r="F1823" s="822"/>
      <c r="G1823" s="822"/>
      <c r="H1823" s="822"/>
    </row>
    <row r="1824" spans="1:8" x14ac:dyDescent="0.2">
      <c r="A1824" s="820">
        <v>1820</v>
      </c>
      <c r="B1824" s="1085" t="str">
        <f t="shared" si="28"/>
        <v>US Virgin Islands</v>
      </c>
      <c r="C1824" s="1070" t="s">
        <v>3281</v>
      </c>
      <c r="D1824" s="822"/>
      <c r="E1824" s="822"/>
      <c r="F1824" s="822"/>
      <c r="G1824" s="822"/>
      <c r="H1824" s="822"/>
    </row>
    <row r="1825" spans="1:8" x14ac:dyDescent="0.2">
      <c r="A1825" s="820">
        <v>1821</v>
      </c>
      <c r="B1825" s="1085" t="str">
        <f t="shared" si="28"/>
        <v>Vietnam</v>
      </c>
      <c r="C1825" s="1070" t="s">
        <v>3282</v>
      </c>
      <c r="D1825" s="822"/>
      <c r="E1825" s="822"/>
      <c r="F1825" s="822"/>
      <c r="G1825" s="822"/>
      <c r="H1825" s="822"/>
    </row>
    <row r="1826" spans="1:8" x14ac:dyDescent="0.2">
      <c r="A1826" s="820">
        <v>1822</v>
      </c>
      <c r="B1826" s="1085" t="str">
        <f t="shared" si="28"/>
        <v>Vanuatu</v>
      </c>
      <c r="C1826" s="1070" t="s">
        <v>3283</v>
      </c>
      <c r="D1826" s="822"/>
      <c r="E1826" s="822"/>
      <c r="F1826" s="822"/>
      <c r="G1826" s="822"/>
      <c r="H1826" s="822"/>
    </row>
    <row r="1827" spans="1:8" x14ac:dyDescent="0.2">
      <c r="A1827" s="820">
        <v>1823</v>
      </c>
      <c r="B1827" s="1085" t="str">
        <f t="shared" si="28"/>
        <v>Wallis and Futuna Islands</v>
      </c>
      <c r="C1827" s="1070" t="s">
        <v>3284</v>
      </c>
      <c r="D1827" s="822"/>
      <c r="E1827" s="822"/>
      <c r="F1827" s="822"/>
      <c r="G1827" s="822"/>
      <c r="H1827" s="822"/>
    </row>
    <row r="1828" spans="1:8" x14ac:dyDescent="0.2">
      <c r="A1828" s="820">
        <v>1824</v>
      </c>
      <c r="B1828" s="1085" t="str">
        <f t="shared" si="28"/>
        <v>Samoa</v>
      </c>
      <c r="C1828" s="1070" t="s">
        <v>3285</v>
      </c>
      <c r="D1828" s="822"/>
      <c r="E1828" s="822"/>
      <c r="F1828" s="822"/>
      <c r="G1828" s="822"/>
      <c r="H1828" s="822"/>
    </row>
    <row r="1829" spans="1:8" x14ac:dyDescent="0.2">
      <c r="A1829" s="820">
        <v>1825</v>
      </c>
      <c r="B1829" s="1085" t="str">
        <f t="shared" si="28"/>
        <v>American Oceania</v>
      </c>
      <c r="C1829" s="1070" t="s">
        <v>3286</v>
      </c>
      <c r="D1829" s="822"/>
      <c r="E1829" s="822"/>
      <c r="F1829" s="822"/>
      <c r="G1829" s="822"/>
      <c r="H1829" s="822"/>
    </row>
    <row r="1830" spans="1:8" x14ac:dyDescent="0.2">
      <c r="A1830" s="820">
        <v>1826</v>
      </c>
      <c r="B1830" s="1085" t="str">
        <f t="shared" si="28"/>
        <v>Ceuta</v>
      </c>
      <c r="C1830" s="1070" t="s">
        <v>3287</v>
      </c>
      <c r="D1830" s="822"/>
      <c r="E1830" s="822"/>
      <c r="F1830" s="822"/>
      <c r="G1830" s="822"/>
      <c r="H1830" s="822"/>
    </row>
    <row r="1831" spans="1:8" x14ac:dyDescent="0.2">
      <c r="A1831" s="820">
        <v>1827</v>
      </c>
      <c r="B1831" s="1085" t="str">
        <f t="shared" si="28"/>
        <v>United Kingdom (Northern Ireland)</v>
      </c>
      <c r="C1831" s="1070" t="s">
        <v>3288</v>
      </c>
      <c r="D1831" s="822"/>
      <c r="E1831" s="822"/>
      <c r="F1831" s="822"/>
      <c r="G1831" s="822"/>
      <c r="H1831" s="822"/>
    </row>
    <row r="1832" spans="1:8" x14ac:dyDescent="0.2">
      <c r="A1832" s="820">
        <v>1828</v>
      </c>
      <c r="B1832" s="1085" t="str">
        <f t="shared" si="28"/>
        <v>Kosovo</v>
      </c>
      <c r="C1832" s="1070" t="s">
        <v>3289</v>
      </c>
      <c r="D1832" s="822"/>
      <c r="E1832" s="822"/>
      <c r="F1832" s="822"/>
      <c r="G1832" s="822"/>
      <c r="H1832" s="822"/>
    </row>
    <row r="1833" spans="1:8" x14ac:dyDescent="0.2">
      <c r="A1833" s="820">
        <v>1829</v>
      </c>
      <c r="B1833" s="1085" t="str">
        <f t="shared" si="28"/>
        <v>Melilla</v>
      </c>
      <c r="C1833" s="1070" t="s">
        <v>3290</v>
      </c>
      <c r="D1833" s="822"/>
      <c r="E1833" s="822"/>
      <c r="F1833" s="822"/>
      <c r="G1833" s="822"/>
      <c r="H1833" s="822"/>
    </row>
    <row r="1834" spans="1:8" x14ac:dyDescent="0.2">
      <c r="A1834" s="820">
        <v>1830</v>
      </c>
      <c r="B1834" s="1085" t="str">
        <f t="shared" si="28"/>
        <v>Australian Oceania</v>
      </c>
      <c r="C1834" s="1070" t="s">
        <v>3291</v>
      </c>
      <c r="D1834" s="822"/>
      <c r="E1834" s="822"/>
      <c r="F1834" s="822"/>
      <c r="G1834" s="822"/>
      <c r="H1834" s="822"/>
    </row>
    <row r="1835" spans="1:8" x14ac:dyDescent="0.2">
      <c r="A1835" s="820">
        <v>1831</v>
      </c>
      <c r="B1835" s="1085" t="str">
        <f t="shared" si="28"/>
        <v>West Bank and Gaza Strip</v>
      </c>
      <c r="C1835" s="1070" t="s">
        <v>3292</v>
      </c>
      <c r="D1835" s="822"/>
      <c r="E1835" s="822"/>
      <c r="F1835" s="822"/>
      <c r="G1835" s="822"/>
      <c r="H1835" s="822"/>
    </row>
    <row r="1836" spans="1:8" x14ac:dyDescent="0.2">
      <c r="A1836" s="820">
        <v>1832</v>
      </c>
      <c r="B1836" s="1085" t="str">
        <f t="shared" si="28"/>
        <v>Polar regions</v>
      </c>
      <c r="C1836" s="1070" t="s">
        <v>3293</v>
      </c>
      <c r="D1836" s="822"/>
      <c r="E1836" s="822"/>
      <c r="F1836" s="822"/>
      <c r="G1836" s="822"/>
      <c r="H1836" s="822"/>
    </row>
    <row r="1837" spans="1:8" x14ac:dyDescent="0.2">
      <c r="A1837" s="820">
        <v>1833</v>
      </c>
      <c r="B1837" s="1085" t="str">
        <f t="shared" si="28"/>
        <v>New Zealand Oceania</v>
      </c>
      <c r="C1837" s="1070" t="s">
        <v>3294</v>
      </c>
      <c r="D1837" s="822"/>
      <c r="E1837" s="822"/>
      <c r="F1837" s="822"/>
      <c r="G1837" s="822"/>
      <c r="H1837" s="822"/>
    </row>
    <row r="1838" spans="1:8" x14ac:dyDescent="0.2">
      <c r="A1838" s="820">
        <v>1834</v>
      </c>
      <c r="B1838" s="1085" t="str">
        <f t="shared" si="28"/>
        <v>Yemen</v>
      </c>
      <c r="C1838" s="1070" t="s">
        <v>3295</v>
      </c>
      <c r="D1838" s="822"/>
      <c r="E1838" s="822"/>
      <c r="F1838" s="822"/>
      <c r="G1838" s="822"/>
      <c r="H1838" s="822"/>
    </row>
    <row r="1839" spans="1:8" x14ac:dyDescent="0.2">
      <c r="A1839" s="820">
        <v>1835</v>
      </c>
      <c r="B1839" s="1085" t="str">
        <f t="shared" si="28"/>
        <v>Mayotte</v>
      </c>
      <c r="C1839" s="1070" t="s">
        <v>3296</v>
      </c>
      <c r="D1839" s="822"/>
      <c r="E1839" s="822"/>
      <c r="F1839" s="822"/>
      <c r="G1839" s="822"/>
      <c r="H1839" s="822"/>
    </row>
    <row r="1840" spans="1:8" x14ac:dyDescent="0.2">
      <c r="A1840" s="820">
        <v>1836</v>
      </c>
      <c r="B1840" s="1085" t="str">
        <f t="shared" si="28"/>
        <v>Federal Republic of Yugoslavia</v>
      </c>
      <c r="C1840" s="1070" t="s">
        <v>3297</v>
      </c>
      <c r="D1840" s="822"/>
      <c r="E1840" s="822"/>
      <c r="F1840" s="822"/>
      <c r="G1840" s="822"/>
      <c r="H1840" s="822"/>
    </row>
    <row r="1841" spans="1:8" x14ac:dyDescent="0.2">
      <c r="A1841" s="820">
        <v>1837</v>
      </c>
      <c r="B1841" s="1085" t="str">
        <f t="shared" si="28"/>
        <v>South Africa</v>
      </c>
      <c r="C1841" s="1070" t="s">
        <v>3298</v>
      </c>
      <c r="D1841" s="822"/>
      <c r="E1841" s="822"/>
      <c r="F1841" s="822"/>
      <c r="G1841" s="822"/>
      <c r="H1841" s="822"/>
    </row>
    <row r="1842" spans="1:8" x14ac:dyDescent="0.2">
      <c r="A1842" s="820">
        <v>1838</v>
      </c>
      <c r="B1842" s="1085" t="str">
        <f t="shared" si="28"/>
        <v>Zambia</v>
      </c>
      <c r="C1842" s="1070" t="s">
        <v>3299</v>
      </c>
      <c r="D1842" s="822"/>
      <c r="E1842" s="822"/>
      <c r="F1842" s="822"/>
      <c r="G1842" s="822"/>
      <c r="H1842" s="822"/>
    </row>
    <row r="1843" spans="1:8" x14ac:dyDescent="0.2">
      <c r="A1843" s="820">
        <v>1839</v>
      </c>
      <c r="B1843" s="1085" t="str">
        <f t="shared" si="28"/>
        <v>Zaire</v>
      </c>
      <c r="C1843" s="1070" t="s">
        <v>3300</v>
      </c>
      <c r="D1843" s="822"/>
      <c r="E1843" s="822"/>
      <c r="F1843" s="822"/>
      <c r="G1843" s="822"/>
      <c r="H1843" s="822"/>
    </row>
    <row r="1844" spans="1:8" x14ac:dyDescent="0.2">
      <c r="A1844" s="820">
        <v>1840</v>
      </c>
      <c r="B1844" s="1085" t="str">
        <f t="shared" si="28"/>
        <v>Zimbabwe</v>
      </c>
      <c r="C1844" s="1070" t="s">
        <v>3301</v>
      </c>
      <c r="D1844" s="822"/>
      <c r="E1844" s="822"/>
      <c r="F1844" s="822"/>
      <c r="G1844" s="822"/>
      <c r="H1844" s="822"/>
    </row>
    <row r="1845" spans="1:8" x14ac:dyDescent="0.2">
      <c r="A1845" s="820">
        <v>1841</v>
      </c>
      <c r="B1845" s="1085" t="str">
        <f t="shared" si="28"/>
        <v>Common Nomenclature Codes for CBAM goods</v>
      </c>
      <c r="C1845" s="1070" t="s">
        <v>3874</v>
      </c>
      <c r="D1845" s="822"/>
      <c r="E1845" s="822"/>
      <c r="F1845" s="822"/>
      <c r="G1845" s="822"/>
      <c r="H1845" s="822"/>
    </row>
    <row r="1846" spans="1:8"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x14ac:dyDescent="0.2">
      <c r="A1848" s="820">
        <v>1844</v>
      </c>
      <c r="B1848" s="1085" t="str">
        <f t="shared" si="28"/>
        <v>CN Code</v>
      </c>
      <c r="C1848" s="1070" t="s">
        <v>3879</v>
      </c>
      <c r="D1848" s="822"/>
      <c r="E1848" s="822"/>
      <c r="F1848" s="822"/>
      <c r="G1848" s="822"/>
      <c r="H1848" s="822"/>
    </row>
    <row r="1849" spans="1:8" x14ac:dyDescent="0.2">
      <c r="A1849" s="820">
        <v>1845</v>
      </c>
      <c r="B1849" s="1085" t="str">
        <f t="shared" si="28"/>
        <v>GHG balance &amp; data quality</v>
      </c>
      <c r="C1849" s="1070" t="s">
        <v>3052</v>
      </c>
      <c r="D1849" s="822"/>
      <c r="E1849" s="822"/>
      <c r="F1849" s="822"/>
      <c r="G1849" s="822"/>
      <c r="H1849" s="822"/>
    </row>
    <row r="1850" spans="1:8" x14ac:dyDescent="0.2">
      <c r="A1850" s="820">
        <v>1846</v>
      </c>
      <c r="B1850" s="1085" t="str">
        <f t="shared" si="28"/>
        <v>GHG balance by type of GHG</v>
      </c>
      <c r="C1850" s="1070" t="s">
        <v>3060</v>
      </c>
      <c r="D1850" s="822"/>
      <c r="E1850" s="822"/>
      <c r="F1850" s="822"/>
      <c r="G1850" s="822"/>
      <c r="H1850" s="822"/>
    </row>
    <row r="1851" spans="1:8" x14ac:dyDescent="0.2">
      <c r="A1851" s="820">
        <v>1847</v>
      </c>
      <c r="B1851" s="1085" t="str">
        <f t="shared" si="28"/>
        <v>GHG balance by type of monitoring methodology</v>
      </c>
      <c r="C1851" s="1070" t="s">
        <v>3061</v>
      </c>
      <c r="D1851" s="822"/>
      <c r="E1851" s="822"/>
      <c r="F1851" s="822"/>
      <c r="G1851" s="822"/>
      <c r="H1851" s="822"/>
    </row>
    <row r="1852" spans="1:8"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x14ac:dyDescent="0.2">
      <c r="A1853" s="820">
        <v>1849</v>
      </c>
      <c r="B1853" s="1085" t="str">
        <f t="shared" si="28"/>
        <v>Calculation - based (excl. PFC emissions)</v>
      </c>
      <c r="C1853" s="1070" t="s">
        <v>3038</v>
      </c>
      <c r="D1853" s="822"/>
      <c r="E1853" s="822"/>
      <c r="F1853" s="822"/>
      <c r="G1853" s="822"/>
      <c r="H1853" s="822"/>
    </row>
    <row r="1854" spans="1:8" x14ac:dyDescent="0.2">
      <c r="A1854" s="820">
        <v>1850</v>
      </c>
      <c r="B1854" s="1085" t="str">
        <f t="shared" si="28"/>
        <v>Measurement - based</v>
      </c>
      <c r="C1854" s="1070" t="s">
        <v>3037</v>
      </c>
      <c r="D1854" s="822"/>
      <c r="E1854" s="822"/>
      <c r="F1854" s="822"/>
      <c r="G1854" s="822"/>
      <c r="H1854" s="822"/>
    </row>
    <row r="1855" spans="1:8" x14ac:dyDescent="0.2">
      <c r="A1855" s="820">
        <v>1851</v>
      </c>
      <c r="B1855" s="1085" t="str">
        <f t="shared" si="28"/>
        <v>Information on the data quality and quality assurance</v>
      </c>
      <c r="C1855" s="1070" t="s">
        <v>3057</v>
      </c>
      <c r="D1855" s="822"/>
      <c r="E1855" s="822"/>
      <c r="F1855" s="822"/>
      <c r="G1855" s="822"/>
      <c r="H1855" s="822"/>
    </row>
    <row r="1856" spans="1:8" x14ac:dyDescent="0.2">
      <c r="A1856" s="820">
        <v>1852</v>
      </c>
      <c r="B1856" s="1085" t="str">
        <f t="shared" si="28"/>
        <v>General information on data quality:</v>
      </c>
      <c r="C1856" s="1070" t="s">
        <v>3055</v>
      </c>
      <c r="D1856" s="822"/>
      <c r="E1856" s="822"/>
      <c r="F1856" s="822"/>
      <c r="G1856" s="822"/>
      <c r="H1856" s="822"/>
    </row>
    <row r="1857" spans="1:8"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x14ac:dyDescent="0.2">
      <c r="A1858" s="820">
        <v>1854</v>
      </c>
      <c r="B1858" s="1085" t="str">
        <f t="shared" si="28"/>
        <v>Justification for use of default values (if relevant):</v>
      </c>
      <c r="C1858" s="1070" t="s">
        <v>3063</v>
      </c>
      <c r="D1858" s="822"/>
      <c r="E1858" s="822"/>
      <c r="F1858" s="822"/>
      <c r="G1858" s="822"/>
      <c r="H1858" s="822"/>
    </row>
    <row r="1859" spans="1:8"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x14ac:dyDescent="0.2">
      <c r="A1860" s="820">
        <v>1856</v>
      </c>
      <c r="B1860" s="1085" t="str">
        <f t="shared" si="28"/>
        <v>Information on quality assurance:</v>
      </c>
      <c r="C1860" s="1070" t="s">
        <v>3056</v>
      </c>
      <c r="D1860" s="822"/>
      <c r="E1860" s="822"/>
      <c r="F1860" s="822"/>
      <c r="G1860" s="822"/>
      <c r="H1860" s="822"/>
    </row>
    <row r="1861" spans="1:8" x14ac:dyDescent="0.2">
      <c r="A1861" s="820">
        <v>1857</v>
      </c>
      <c r="B1861" s="1085" t="str">
        <f t="shared" si="28"/>
        <v>SE (total)</v>
      </c>
      <c r="C1861" s="1070" t="s">
        <v>3033</v>
      </c>
      <c r="D1861" s="822"/>
      <c r="E1861" s="822"/>
      <c r="F1861" s="822"/>
      <c r="G1861" s="822"/>
      <c r="H1861" s="822"/>
    </row>
    <row r="1862" spans="1:8"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x14ac:dyDescent="0.2">
      <c r="A1866" s="820">
        <v>1862</v>
      </c>
      <c r="B1866" s="1085" t="str">
        <f t="shared" si="29"/>
        <v>Currency:</v>
      </c>
      <c r="C1866" s="1070" t="s">
        <v>3875</v>
      </c>
      <c r="D1866" s="822"/>
      <c r="E1866" s="822"/>
      <c r="F1866" s="822"/>
      <c r="G1866" s="822"/>
      <c r="H1866" s="822"/>
    </row>
    <row r="1867" spans="1:8" x14ac:dyDescent="0.2">
      <c r="A1867" s="820">
        <v>1863</v>
      </c>
      <c r="B1867" s="1085" t="str">
        <f t="shared" si="29"/>
        <v>Covered SE</v>
      </c>
      <c r="C1867" s="1070" t="s">
        <v>3036</v>
      </c>
      <c r="D1867" s="822"/>
      <c r="E1867" s="822"/>
      <c r="F1867" s="822"/>
      <c r="G1867" s="822"/>
      <c r="H1867" s="822"/>
    </row>
    <row r="1868" spans="1:8" x14ac:dyDescent="0.2">
      <c r="A1868" s="820">
        <v>1864</v>
      </c>
      <c r="B1868" s="1085" t="str">
        <f t="shared" si="29"/>
        <v>Share of emissions by default value</v>
      </c>
      <c r="C1868" s="1070" t="s">
        <v>3877</v>
      </c>
      <c r="D1868" s="822"/>
      <c r="E1868" s="822"/>
      <c r="F1868" s="822"/>
      <c r="G1868" s="822"/>
      <c r="H1868" s="822"/>
    </row>
    <row r="1869" spans="1:8"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x14ac:dyDescent="0.2">
      <c r="A1871" s="820">
        <v>1867</v>
      </c>
      <c r="B1871" s="1085" t="str">
        <f t="shared" si="29"/>
        <v>Carbon price (CP)</v>
      </c>
      <c r="C1871" s="1070" t="s">
        <v>3876</v>
      </c>
      <c r="D1871" s="822"/>
      <c r="E1871" s="822"/>
      <c r="F1871" s="822"/>
      <c r="G1871" s="822"/>
      <c r="H1871" s="822"/>
    </row>
    <row r="1872" spans="1:8" x14ac:dyDescent="0.2">
      <c r="A1872" s="820">
        <v>1868</v>
      </c>
      <c r="B1872" s="1085" t="str">
        <f t="shared" si="29"/>
        <v>Amount of rebate (per produced t or MWh)</v>
      </c>
      <c r="C1872" s="1070" t="s">
        <v>4208</v>
      </c>
      <c r="D1872" s="822"/>
      <c r="E1872" s="822"/>
      <c r="F1872" s="822"/>
      <c r="G1872" s="822"/>
      <c r="H1872" s="822"/>
    </row>
    <row r="1873" spans="1:8" x14ac:dyDescent="0.2">
      <c r="A1873" s="820">
        <v>1869</v>
      </c>
      <c r="B1873" s="1085" t="str">
        <f t="shared" si="29"/>
        <v>Missing entries?</v>
      </c>
      <c r="C1873" s="1070" t="s">
        <v>2717</v>
      </c>
      <c r="D1873" s="822"/>
      <c r="E1873" s="822"/>
      <c r="F1873" s="822"/>
      <c r="G1873" s="822"/>
      <c r="H1873" s="822"/>
    </row>
    <row r="1874" spans="1:8" x14ac:dyDescent="0.2">
      <c r="A1874" s="820">
        <v>1870</v>
      </c>
      <c r="B1874" s="1085" t="str">
        <f t="shared" si="29"/>
        <v>Summary of emissions by monitoring methodology and data quality</v>
      </c>
      <c r="C1874" s="1070" t="s">
        <v>3886</v>
      </c>
      <c r="D1874" s="822"/>
      <c r="E1874" s="822"/>
      <c r="F1874" s="822"/>
      <c r="G1874" s="822"/>
      <c r="H1874" s="822"/>
    </row>
    <row r="1875" spans="1:8" x14ac:dyDescent="0.2">
      <c r="A1875" s="820">
        <v>1871</v>
      </c>
      <c r="B1875" s="1085" t="str">
        <f t="shared" si="29"/>
        <v>Mostly measurements &amp; analyses</v>
      </c>
      <c r="C1875" s="1070" t="s">
        <v>3042</v>
      </c>
      <c r="D1875" s="822"/>
      <c r="E1875" s="822"/>
      <c r="F1875" s="822"/>
      <c r="G1875" s="822"/>
      <c r="H1875" s="822"/>
    </row>
    <row r="1876" spans="1:8" x14ac:dyDescent="0.2">
      <c r="A1876" s="820">
        <v>1872</v>
      </c>
      <c r="B1876" s="1085" t="str">
        <f t="shared" si="29"/>
        <v>Mostly measurements &amp; national standard factors for e.g. the emission factor</v>
      </c>
      <c r="C1876" s="1070" t="s">
        <v>3044</v>
      </c>
      <c r="D1876" s="822"/>
      <c r="E1876" s="822"/>
      <c r="F1876" s="822"/>
      <c r="G1876" s="822"/>
      <c r="H1876" s="822"/>
    </row>
    <row r="1877" spans="1:8"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x14ac:dyDescent="0.2">
      <c r="A1879" s="820">
        <v>1875</v>
      </c>
      <c r="B1879" s="1085" t="str">
        <f t="shared" si="29"/>
        <v>Mostly default values provided by the European Commission</v>
      </c>
      <c r="C1879" s="1070" t="s">
        <v>3046</v>
      </c>
      <c r="D1879" s="822"/>
      <c r="E1879" s="822"/>
      <c r="F1879" s="822"/>
      <c r="G1879" s="822"/>
      <c r="H1879" s="822"/>
    </row>
    <row r="1880" spans="1:8" x14ac:dyDescent="0.2">
      <c r="A1880" s="820">
        <v>1876</v>
      </c>
      <c r="B1880" s="1085" t="str">
        <f t="shared" si="29"/>
        <v>Third-party verification</v>
      </c>
      <c r="C1880" s="1070" t="s">
        <v>3048</v>
      </c>
      <c r="D1880" s="822"/>
      <c r="E1880" s="822"/>
      <c r="F1880" s="822"/>
      <c r="G1880" s="822"/>
      <c r="H1880" s="822"/>
    </row>
    <row r="1881" spans="1:8" x14ac:dyDescent="0.2">
      <c r="A1881" s="820">
        <v>1877</v>
      </c>
      <c r="B1881" s="1085" t="str">
        <f t="shared" si="29"/>
        <v>Internal audits</v>
      </c>
      <c r="C1881" s="1070" t="s">
        <v>3049</v>
      </c>
      <c r="D1881" s="822"/>
      <c r="E1881" s="822"/>
      <c r="F1881" s="822"/>
      <c r="G1881" s="822"/>
      <c r="H1881" s="822"/>
    </row>
    <row r="1882" spans="1:8" x14ac:dyDescent="0.2">
      <c r="A1882" s="820">
        <v>1878</v>
      </c>
      <c r="B1882" s="1085" t="str">
        <f t="shared" si="29"/>
        <v>Four eyes principle</v>
      </c>
      <c r="C1882" s="1070" t="s">
        <v>3050</v>
      </c>
      <c r="D1882" s="822"/>
      <c r="E1882" s="822"/>
      <c r="F1882" s="822"/>
      <c r="G1882" s="822"/>
      <c r="H1882" s="822"/>
    </row>
    <row r="1883" spans="1:8" x14ac:dyDescent="0.2">
      <c r="A1883" s="820">
        <v>1879</v>
      </c>
      <c r="B1883" s="1085" t="str">
        <f t="shared" si="29"/>
        <v>Unreasonable costs for more accurate monitoring</v>
      </c>
      <c r="C1883" s="1070" t="s">
        <v>3053</v>
      </c>
      <c r="D1883" s="822"/>
      <c r="E1883" s="822"/>
      <c r="F1883" s="822"/>
      <c r="G1883" s="822"/>
      <c r="H1883" s="822"/>
    </row>
    <row r="1884" spans="1:8" x14ac:dyDescent="0.2">
      <c r="A1884" s="820">
        <v>1880</v>
      </c>
      <c r="B1884" s="1085" t="str">
        <f t="shared" si="29"/>
        <v>Data gaps</v>
      </c>
      <c r="C1884" s="1070" t="s">
        <v>3054</v>
      </c>
      <c r="D1884" s="822"/>
      <c r="E1884" s="822"/>
      <c r="F1884" s="822"/>
      <c r="G1884" s="822"/>
      <c r="H1884" s="822"/>
    </row>
    <row r="1885" spans="1:8" x14ac:dyDescent="0.2">
      <c r="A1885" s="820">
        <v>1881</v>
      </c>
      <c r="B1885" s="1085" t="str">
        <f t="shared" si="29"/>
        <v>Name of this sheet:</v>
      </c>
      <c r="C1885" s="1070" t="s">
        <v>2996</v>
      </c>
      <c r="D1885" s="822"/>
      <c r="E1885" s="822"/>
      <c r="F1885" s="822"/>
      <c r="G1885" s="822"/>
      <c r="H1885" s="822"/>
    </row>
    <row r="1886" spans="1:8"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x14ac:dyDescent="0.25">
      <c r="A1887" s="1081" t="s">
        <v>4195</v>
      </c>
      <c r="B1887" s="1081" t="s">
        <v>4195</v>
      </c>
      <c r="C1887" s="1081" t="s">
        <v>4195</v>
      </c>
      <c r="D1887" s="822"/>
      <c r="E1887" s="822"/>
      <c r="F1887" s="822"/>
      <c r="G1887" s="822"/>
      <c r="H1887" s="822"/>
    </row>
    <row r="1888" spans="1:8" x14ac:dyDescent="0.2">
      <c r="A1888" s="1080" t="s">
        <v>4194</v>
      </c>
      <c r="B1888" s="1085"/>
      <c r="C1888" s="1070"/>
      <c r="D1888" s="822"/>
      <c r="E1888" s="822"/>
      <c r="F1888" s="822"/>
      <c r="G1888" s="822"/>
      <c r="H1888" s="822"/>
    </row>
    <row r="1889" spans="1:8" ht="12.75" x14ac:dyDescent="0.25">
      <c r="A1889" s="820">
        <v>1883</v>
      </c>
      <c r="B1889" s="860" t="str">
        <f t="shared" ref="B1889:B1952" si="30">IFERROR(INDEX(C1889:M1889,$A$3-2),$C1889)</f>
        <v>first preliminary published version</v>
      </c>
      <c r="C1889" s="860" t="s">
        <v>3897</v>
      </c>
      <c r="F1889" s="822"/>
      <c r="G1889" s="822"/>
      <c r="H1889" s="822"/>
    </row>
    <row r="1890" spans="1:8" ht="12.75" x14ac:dyDescent="0.25">
      <c r="A1890" s="820">
        <v>1884</v>
      </c>
      <c r="B1890" s="1086" t="str">
        <f t="shared" si="30"/>
        <v>Sheet A: UNLOCODE made mandatory</v>
      </c>
      <c r="C1890" s="1086" t="s">
        <v>4085</v>
      </c>
      <c r="F1890" s="822"/>
      <c r="G1890" s="822"/>
      <c r="H1890" s="822"/>
    </row>
    <row r="1891" spans="1:8" ht="12.75" x14ac:dyDescent="0.25">
      <c r="A1891" s="820">
        <v>1885</v>
      </c>
      <c r="B1891" s="1087" t="str">
        <f t="shared" si="30"/>
        <v>Sheet B: Calculation of emissions corrected (incl. adding missing factor of 3.664 in the mass balance)</v>
      </c>
      <c r="C1891" s="1087" t="s">
        <v>4086</v>
      </c>
      <c r="F1891" s="822"/>
      <c r="G1891" s="822"/>
      <c r="H1891" s="822"/>
    </row>
    <row r="1892" spans="1:8" ht="12.75" x14ac:dyDescent="0.25">
      <c r="A1892" s="820">
        <v>1886</v>
      </c>
      <c r="B1892" s="1087" t="str">
        <f t="shared" si="30"/>
        <v>Sheet C: Inconsistency between cells L16 and L17 fixed</v>
      </c>
      <c r="C1892" s="1087" t="s">
        <v>4087</v>
      </c>
      <c r="F1892" s="822"/>
      <c r="G1892" s="822"/>
      <c r="H1892" s="822"/>
    </row>
    <row r="1893" spans="1:8" ht="12.75" x14ac:dyDescent="0.25">
      <c r="A1893" s="820">
        <v>1887</v>
      </c>
      <c r="B1893" s="1087" t="str">
        <f t="shared" si="30"/>
        <v>Sheet D: Electricity exported bug fixed</v>
      </c>
      <c r="C1893" s="1087" t="s">
        <v>4088</v>
      </c>
      <c r="F1893" s="822"/>
      <c r="G1893" s="822"/>
      <c r="H1893" s="822"/>
    </row>
    <row r="1894" spans="1:8" ht="12.75" x14ac:dyDescent="0.25">
      <c r="A1894" s="820">
        <v>1888</v>
      </c>
      <c r="B1894" s="1087" t="str">
        <f t="shared" si="30"/>
        <v>Sheet Summary processes: broken references to “production process 1” fixed</v>
      </c>
      <c r="C1894" s="1087" t="s">
        <v>4089</v>
      </c>
      <c r="F1894" s="822"/>
      <c r="G1894" s="822"/>
      <c r="H1894" s="822"/>
    </row>
    <row r="1895" spans="1:8" ht="12.75" x14ac:dyDescent="0.25">
      <c r="A1895" s="820">
        <v>1889</v>
      </c>
      <c r="B1895" s="1088" t="str">
        <f t="shared" si="30"/>
        <v>Sheet Summary products: Scrap per t steel/aluminium: values &gt;100% can be entered now</v>
      </c>
      <c r="C1895" s="1088" t="s">
        <v>4200</v>
      </c>
      <c r="F1895" s="822"/>
      <c r="G1895" s="822"/>
      <c r="H1895" s="822"/>
    </row>
    <row r="1896" spans="1:8" ht="12.75" x14ac:dyDescent="0.25">
      <c r="A1896" s="820">
        <v>1890</v>
      </c>
      <c r="B1896" s="861" t="str">
        <f t="shared" si="30"/>
        <v>Fixed bug 'CN code ranges' in sheet Summary_Products</v>
      </c>
      <c r="C1896" s="861" t="s">
        <v>3905</v>
      </c>
      <c r="F1896" s="822"/>
      <c r="G1896" s="822"/>
      <c r="H1896" s="822"/>
    </row>
    <row r="1897" spans="1:8" ht="12.75" x14ac:dyDescent="0.25">
      <c r="A1897" s="820">
        <v>1891</v>
      </c>
      <c r="B1897" s="1089" t="str">
        <f t="shared" si="30"/>
        <v>Improvements and fixed bugs:</v>
      </c>
      <c r="C1897" s="1089" t="s">
        <v>4112</v>
      </c>
      <c r="F1897" s="822"/>
      <c r="G1897" s="822"/>
      <c r="H1897" s="822"/>
    </row>
    <row r="1898" spans="1:8" ht="12.75" x14ac:dyDescent="0.25">
      <c r="A1898" s="820">
        <v>1892</v>
      </c>
      <c r="B1898" s="1087" t="str">
        <f t="shared" si="30"/>
        <v>Sheet a_contents: Error in sheet names in table of contents for certain Excel versions</v>
      </c>
      <c r="C1898" s="1087" t="s">
        <v>4106</v>
      </c>
      <c r="F1898" s="822"/>
      <c r="G1898" s="822"/>
      <c r="H1898" s="822"/>
    </row>
    <row r="1899" spans="1:8" ht="12.75" x14ac:dyDescent="0.25">
      <c r="A1899" s="820">
        <v>1893</v>
      </c>
      <c r="B1899" s="1087" t="str">
        <f t="shared" si="30"/>
        <v>Sheet b: Link to implementing act corrected</v>
      </c>
      <c r="C1899" s="1087" t="s">
        <v>4090</v>
      </c>
      <c r="F1899" s="822"/>
      <c r="G1899" s="822"/>
      <c r="H1899" s="822"/>
    </row>
    <row r="1900" spans="1:8" ht="12.75" x14ac:dyDescent="0.25">
      <c r="A1900" s="820">
        <v>1894</v>
      </c>
      <c r="B1900" s="1087" t="str">
        <f t="shared" si="30"/>
        <v>Sheet A: Inconsistency warning for production routes added</v>
      </c>
      <c r="C1900" s="1087" t="s">
        <v>4107</v>
      </c>
      <c r="F1900" s="822"/>
      <c r="G1900" s="822"/>
      <c r="H1900" s="822"/>
    </row>
    <row r="1901" spans="1:8" ht="12.75" x14ac:dyDescent="0.25">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2.75" x14ac:dyDescent="0.25">
      <c r="A1902" s="820">
        <v>1896</v>
      </c>
      <c r="B1902" s="1087" t="str">
        <f t="shared" si="30"/>
        <v>Sheet B: PFC emissions (2nd source stream) incl. further improvements</v>
      </c>
      <c r="C1902" s="1087" t="s">
        <v>4091</v>
      </c>
      <c r="F1902" s="822"/>
      <c r="G1902" s="822"/>
      <c r="H1902" s="822"/>
    </row>
    <row r="1903" spans="1:8" ht="12.75" x14ac:dyDescent="0.25">
      <c r="A1903" s="820">
        <v>1897</v>
      </c>
      <c r="B1903" s="1087" t="str">
        <f t="shared" si="30"/>
        <v>Sheet C: Fixed inputs and formulae in L25 and L26</v>
      </c>
      <c r="C1903" s="1087" t="s">
        <v>4092</v>
      </c>
      <c r="F1903" s="822"/>
      <c r="G1903" s="822"/>
      <c r="H1903" s="822"/>
    </row>
    <row r="1904" spans="1:8" ht="12.75" x14ac:dyDescent="0.25">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2.75" x14ac:dyDescent="0.25">
      <c r="A1905" s="820">
        <v>1899</v>
      </c>
      <c r="B1905" s="1087" t="str">
        <f t="shared" si="30"/>
        <v>Sheet E: More completeness indicators added.</v>
      </c>
      <c r="C1905" s="1087" t="s">
        <v>4098</v>
      </c>
      <c r="F1905" s="822"/>
      <c r="G1905" s="822"/>
      <c r="H1905" s="822"/>
    </row>
    <row r="1906" spans="1:8" ht="12.75" x14ac:dyDescent="0.25">
      <c r="A1906" s="820">
        <v>1900</v>
      </c>
      <c r="B1906" s="1087" t="str">
        <f t="shared" si="30"/>
        <v>Sheet E: Navigation area extended to cover all 20 possible precursors</v>
      </c>
      <c r="C1906" s="1087" t="s">
        <v>4103</v>
      </c>
      <c r="F1906" s="822"/>
      <c r="G1906" s="822"/>
      <c r="H1906" s="822"/>
    </row>
    <row r="1907" spans="1:8" ht="12.75" x14ac:dyDescent="0.25">
      <c r="A1907" s="820">
        <v>1901</v>
      </c>
      <c r="B1907" s="1087" t="str">
        <f t="shared" si="30"/>
        <v>Sheet F: CHP tool corrected for taking into account emissions from flue gas cleaning.</v>
      </c>
      <c r="C1907" s="1087" t="s">
        <v>4104</v>
      </c>
      <c r="F1907" s="822"/>
      <c r="G1907" s="822"/>
      <c r="H1907" s="822"/>
    </row>
    <row r="1908" spans="1:8" ht="12.75" x14ac:dyDescent="0.25">
      <c r="A1908" s="820">
        <v>1902</v>
      </c>
      <c r="B1908" s="1087" t="str">
        <f t="shared" si="30"/>
        <v>Sheet G: Guidance texts have been revised. An additional guidance section for sheet E has been added.</v>
      </c>
      <c r="C1908" s="1087" t="s">
        <v>4102</v>
      </c>
      <c r="F1908" s="822"/>
      <c r="G1908" s="822"/>
      <c r="H1908" s="822"/>
    </row>
    <row r="1909" spans="1:8" ht="12.75" x14ac:dyDescent="0.25">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2.75" x14ac:dyDescent="0.25">
      <c r="A1910" s="820">
        <v>1904</v>
      </c>
      <c r="B1910" s="1087" t="str">
        <f t="shared" si="30"/>
        <v>Sheet Summary_Products: Consistent units for carbon price due</v>
      </c>
      <c r="C1910" s="1087" t="s">
        <v>4108</v>
      </c>
      <c r="F1910" s="822"/>
      <c r="G1910" s="822"/>
      <c r="H1910" s="822"/>
    </row>
    <row r="1911" spans="1:8" ht="12.75" x14ac:dyDescent="0.25">
      <c r="A1911" s="820">
        <v>1905</v>
      </c>
      <c r="B1911" s="1087" t="str">
        <f t="shared" si="30"/>
        <v>Sheet Summary_Products: Qualifying parameters (columns R to AA) made optional</v>
      </c>
      <c r="C1911" s="1087" t="s">
        <v>4109</v>
      </c>
      <c r="F1911" s="822"/>
      <c r="G1911" s="822"/>
      <c r="H1911" s="822"/>
    </row>
    <row r="1912" spans="1:8" ht="12.75" x14ac:dyDescent="0.25">
      <c r="A1912" s="820">
        <v>1906</v>
      </c>
      <c r="B1912" s="1087" t="str">
        <f t="shared" si="30"/>
        <v>General: Consistent units for the good "Electricity" expressed as MWh</v>
      </c>
      <c r="C1912" s="1087" t="s">
        <v>4110</v>
      </c>
      <c r="F1912" s="822"/>
      <c r="G1912" s="822"/>
      <c r="H1912" s="822"/>
    </row>
    <row r="1913" spans="1:8" ht="12.75" x14ac:dyDescent="0.25">
      <c r="A1913" s="820">
        <v>1907</v>
      </c>
      <c r="B1913" s="1087" t="str">
        <f t="shared" si="30"/>
        <v>General: Further clarification in guidance texts at several locations</v>
      </c>
      <c r="C1913" s="1087" t="s">
        <v>4111</v>
      </c>
      <c r="F1913" s="822"/>
      <c r="G1913" s="822"/>
      <c r="H1913" s="822"/>
    </row>
    <row r="1914" spans="1:8" ht="12.75" x14ac:dyDescent="0.25">
      <c r="A1914" s="820">
        <v>1908</v>
      </c>
      <c r="B1914" s="1087" t="str">
        <f t="shared" si="30"/>
        <v>General: Uniform formatting, conditional formats improved</v>
      </c>
      <c r="C1914" s="1087" t="s">
        <v>4097</v>
      </c>
      <c r="F1914" s="822"/>
      <c r="G1914" s="822"/>
      <c r="H1914" s="822"/>
    </row>
    <row r="1915" spans="1:8" ht="12.75" x14ac:dyDescent="0.25">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2.75" x14ac:dyDescent="0.25">
      <c r="A1916" s="820">
        <v>1910</v>
      </c>
      <c r="B1916" s="823" t="str">
        <f t="shared" si="30"/>
        <v>http://data.europa.eu/eli/reg_impl/2023/1773/oj</v>
      </c>
      <c r="C1916" s="823" t="s">
        <v>3919</v>
      </c>
      <c r="F1916" s="822"/>
      <c r="G1916" s="822"/>
      <c r="H1916" s="822"/>
    </row>
    <row r="1917" spans="1:8" ht="15.75" x14ac:dyDescent="0.25">
      <c r="A1917" s="820">
        <v>1911</v>
      </c>
      <c r="B1917" s="864" t="str">
        <f t="shared" si="30"/>
        <v>This is the published version 2.1.1 of the CBAM template, version of 13 December 2024.</v>
      </c>
      <c r="C1917" s="864" t="s">
        <v>4264</v>
      </c>
      <c r="F1917" s="822"/>
      <c r="G1917" s="822"/>
      <c r="H1917" s="822"/>
    </row>
    <row r="1918" spans="1:8" ht="12.75" x14ac:dyDescent="0.25">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2.75" x14ac:dyDescent="0.25">
      <c r="A1919" s="820">
        <v>1913</v>
      </c>
      <c r="B1919" s="866" t="str">
        <f t="shared" si="30"/>
        <v>Special care must be taken to ensure consistency of data with the units displayed.</v>
      </c>
      <c r="C1919" s="866" t="s">
        <v>3940</v>
      </c>
      <c r="F1919" s="822"/>
      <c r="G1919" s="822"/>
      <c r="H1919" s="822"/>
    </row>
    <row r="1920" spans="1:8" ht="12.75" x14ac:dyDescent="0.25">
      <c r="A1920" s="820">
        <v>1914</v>
      </c>
      <c r="B1920" s="866" t="str">
        <f t="shared" si="30"/>
        <v>White fields with grey text indicate that an input in another field makes the input here irrelevant.</v>
      </c>
      <c r="C1920" s="866" t="s">
        <v>4055</v>
      </c>
      <c r="F1920" s="822"/>
      <c r="G1920" s="822"/>
      <c r="H1920" s="822"/>
    </row>
    <row r="1921" spans="1:8" ht="12.75" x14ac:dyDescent="0.25">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x14ac:dyDescent="0.25">
      <c r="A1922" s="820">
        <v>1916</v>
      </c>
      <c r="B1922" s="1073" t="str">
        <f t="shared" si="30"/>
        <v>Austria</v>
      </c>
      <c r="C1922" s="1073" t="s">
        <v>450</v>
      </c>
      <c r="F1922" s="822"/>
      <c r="G1922" s="822"/>
      <c r="H1922" s="822"/>
    </row>
    <row r="1923" spans="1:8" x14ac:dyDescent="0.25">
      <c r="A1923" s="820">
        <v>1917</v>
      </c>
      <c r="B1923" s="1073" t="str">
        <f t="shared" si="30"/>
        <v>Belgium</v>
      </c>
      <c r="C1923" s="1073" t="s">
        <v>452</v>
      </c>
      <c r="F1923" s="822"/>
      <c r="G1923" s="822"/>
      <c r="H1923" s="822"/>
    </row>
    <row r="1924" spans="1:8" x14ac:dyDescent="0.25">
      <c r="A1924" s="820">
        <v>1918</v>
      </c>
      <c r="B1924" s="1073" t="str">
        <f t="shared" si="30"/>
        <v>Bulgaria</v>
      </c>
      <c r="C1924" s="1073" t="s">
        <v>454</v>
      </c>
      <c r="F1924" s="822"/>
      <c r="G1924" s="822"/>
      <c r="H1924" s="822"/>
    </row>
    <row r="1925" spans="1:8" x14ac:dyDescent="0.25">
      <c r="A1925" s="820">
        <v>1919</v>
      </c>
      <c r="B1925" s="1073" t="str">
        <f t="shared" si="30"/>
        <v>Cyprus</v>
      </c>
      <c r="C1925" s="1073" t="s">
        <v>458</v>
      </c>
      <c r="F1925" s="822"/>
      <c r="G1925" s="822"/>
      <c r="H1925" s="822"/>
    </row>
    <row r="1926" spans="1:8" x14ac:dyDescent="0.25">
      <c r="A1926" s="820">
        <v>1920</v>
      </c>
      <c r="B1926" s="1073" t="str">
        <f t="shared" si="30"/>
        <v>Germany</v>
      </c>
      <c r="C1926" s="1073" t="s">
        <v>470</v>
      </c>
      <c r="F1926" s="822"/>
      <c r="G1926" s="822"/>
      <c r="H1926" s="822"/>
    </row>
    <row r="1927" spans="1:8" x14ac:dyDescent="0.25">
      <c r="A1927" s="820">
        <v>1921</v>
      </c>
      <c r="B1927" s="1073" t="str">
        <f t="shared" si="30"/>
        <v>Denmark</v>
      </c>
      <c r="C1927" s="1073" t="s">
        <v>462</v>
      </c>
      <c r="F1927" s="822"/>
      <c r="G1927" s="822"/>
      <c r="H1927" s="822"/>
    </row>
    <row r="1928" spans="1:8" x14ac:dyDescent="0.25">
      <c r="A1928" s="820">
        <v>1922</v>
      </c>
      <c r="B1928" s="1073" t="str">
        <f t="shared" si="30"/>
        <v>Estonia</v>
      </c>
      <c r="C1928" s="1073" t="s">
        <v>464</v>
      </c>
      <c r="F1928" s="822"/>
      <c r="G1928" s="822"/>
      <c r="H1928" s="822"/>
    </row>
    <row r="1929" spans="1:8" x14ac:dyDescent="0.25">
      <c r="A1929" s="820">
        <v>1923</v>
      </c>
      <c r="B1929" s="1073" t="str">
        <f t="shared" si="30"/>
        <v>Spain</v>
      </c>
      <c r="C1929" s="1073" t="s">
        <v>506</v>
      </c>
      <c r="F1929" s="822"/>
      <c r="G1929" s="822"/>
      <c r="H1929" s="822"/>
    </row>
    <row r="1930" spans="1:8" x14ac:dyDescent="0.25">
      <c r="A1930" s="820">
        <v>1924</v>
      </c>
      <c r="B1930" s="1073" t="str">
        <f t="shared" si="30"/>
        <v>Finland</v>
      </c>
      <c r="C1930" s="1073" t="s">
        <v>466</v>
      </c>
      <c r="F1930" s="822"/>
      <c r="G1930" s="822"/>
      <c r="H1930" s="822"/>
    </row>
    <row r="1931" spans="1:8" x14ac:dyDescent="0.25">
      <c r="A1931" s="820">
        <v>1925</v>
      </c>
      <c r="B1931" s="1073" t="str">
        <f t="shared" si="30"/>
        <v>France</v>
      </c>
      <c r="C1931" s="1073" t="s">
        <v>468</v>
      </c>
      <c r="F1931" s="822"/>
      <c r="G1931" s="822"/>
      <c r="H1931" s="822"/>
    </row>
    <row r="1932" spans="1:8" x14ac:dyDescent="0.25">
      <c r="A1932" s="820">
        <v>1926</v>
      </c>
      <c r="B1932" s="1073" t="str">
        <f t="shared" si="30"/>
        <v>United Kingdom</v>
      </c>
      <c r="C1932" s="1073" t="s">
        <v>510</v>
      </c>
      <c r="F1932" s="822"/>
      <c r="G1932" s="822"/>
      <c r="H1932" s="822"/>
    </row>
    <row r="1933" spans="1:8" x14ac:dyDescent="0.25">
      <c r="A1933" s="820">
        <v>1927</v>
      </c>
      <c r="B1933" s="1073" t="str">
        <f t="shared" si="30"/>
        <v>Greece</v>
      </c>
      <c r="C1933" s="1073" t="s">
        <v>472</v>
      </c>
      <c r="F1933" s="822"/>
      <c r="G1933" s="822"/>
      <c r="H1933" s="822"/>
    </row>
    <row r="1934" spans="1:8" x14ac:dyDescent="0.25">
      <c r="A1934" s="820">
        <v>1928</v>
      </c>
      <c r="B1934" s="1073" t="str">
        <f t="shared" si="30"/>
        <v>Croatia</v>
      </c>
      <c r="C1934" s="1073" t="s">
        <v>456</v>
      </c>
      <c r="F1934" s="822"/>
      <c r="G1934" s="822"/>
      <c r="H1934" s="822"/>
    </row>
    <row r="1935" spans="1:8" x14ac:dyDescent="0.25">
      <c r="A1935" s="820">
        <v>1929</v>
      </c>
      <c r="B1935" s="1073" t="str">
        <f t="shared" si="30"/>
        <v>Hungary</v>
      </c>
      <c r="C1935" s="1073" t="s">
        <v>474</v>
      </c>
      <c r="F1935" s="822"/>
      <c r="G1935" s="822"/>
      <c r="H1935" s="822"/>
    </row>
    <row r="1936" spans="1:8" x14ac:dyDescent="0.25">
      <c r="A1936" s="820">
        <v>1930</v>
      </c>
      <c r="B1936" s="1073" t="str">
        <f t="shared" si="30"/>
        <v>Ireland</v>
      </c>
      <c r="C1936" s="1073" t="s">
        <v>478</v>
      </c>
      <c r="F1936" s="822"/>
      <c r="G1936" s="822"/>
      <c r="H1936" s="822"/>
    </row>
    <row r="1937" spans="1:8" x14ac:dyDescent="0.25">
      <c r="A1937" s="820">
        <v>1931</v>
      </c>
      <c r="B1937" s="1073" t="str">
        <f t="shared" si="30"/>
        <v>Iceland</v>
      </c>
      <c r="C1937" s="1073" t="s">
        <v>476</v>
      </c>
      <c r="F1937" s="822"/>
      <c r="G1937" s="822"/>
      <c r="H1937" s="822"/>
    </row>
    <row r="1938" spans="1:8" x14ac:dyDescent="0.25">
      <c r="A1938" s="820">
        <v>1932</v>
      </c>
      <c r="B1938" s="1073" t="str">
        <f t="shared" si="30"/>
        <v>Italy</v>
      </c>
      <c r="C1938" s="1073" t="s">
        <v>480</v>
      </c>
      <c r="F1938" s="822"/>
      <c r="G1938" s="822"/>
      <c r="H1938" s="822"/>
    </row>
    <row r="1939" spans="1:8" x14ac:dyDescent="0.25">
      <c r="A1939" s="820">
        <v>1933</v>
      </c>
      <c r="B1939" s="1073" t="str">
        <f t="shared" si="30"/>
        <v>Liechtenstein</v>
      </c>
      <c r="C1939" s="1073" t="s">
        <v>484</v>
      </c>
      <c r="F1939" s="822"/>
      <c r="G1939" s="822"/>
      <c r="H1939" s="822"/>
    </row>
    <row r="1940" spans="1:8" x14ac:dyDescent="0.25">
      <c r="A1940" s="820">
        <v>1934</v>
      </c>
      <c r="B1940" s="1073" t="str">
        <f t="shared" si="30"/>
        <v>Lithuania</v>
      </c>
      <c r="C1940" s="1073" t="s">
        <v>486</v>
      </c>
      <c r="F1940" s="822"/>
      <c r="G1940" s="822"/>
      <c r="H1940" s="822"/>
    </row>
    <row r="1941" spans="1:8" x14ac:dyDescent="0.25">
      <c r="A1941" s="820">
        <v>1935</v>
      </c>
      <c r="B1941" s="1073" t="str">
        <f t="shared" si="30"/>
        <v>Luxembourg</v>
      </c>
      <c r="C1941" s="1073" t="s">
        <v>488</v>
      </c>
      <c r="F1941" s="822"/>
      <c r="G1941" s="822"/>
      <c r="H1941" s="822"/>
    </row>
    <row r="1942" spans="1:8" x14ac:dyDescent="0.25">
      <c r="A1942" s="820">
        <v>1936</v>
      </c>
      <c r="B1942" s="1073" t="str">
        <f t="shared" si="30"/>
        <v>Latvia</v>
      </c>
      <c r="C1942" s="1073" t="s">
        <v>482</v>
      </c>
      <c r="F1942" s="822"/>
      <c r="G1942" s="822"/>
      <c r="H1942" s="822"/>
    </row>
    <row r="1943" spans="1:8" x14ac:dyDescent="0.25">
      <c r="A1943" s="820">
        <v>1937</v>
      </c>
      <c r="B1943" s="1073" t="str">
        <f t="shared" si="30"/>
        <v>Malta</v>
      </c>
      <c r="C1943" s="1073" t="s">
        <v>490</v>
      </c>
      <c r="F1943" s="822"/>
      <c r="G1943" s="822"/>
      <c r="H1943" s="822"/>
    </row>
    <row r="1944" spans="1:8" x14ac:dyDescent="0.25">
      <c r="A1944" s="820">
        <v>1938</v>
      </c>
      <c r="B1944" s="1073" t="str">
        <f t="shared" si="30"/>
        <v>Netherlands</v>
      </c>
      <c r="C1944" s="1073" t="s">
        <v>492</v>
      </c>
      <c r="F1944" s="822"/>
      <c r="G1944" s="822"/>
      <c r="H1944" s="822"/>
    </row>
    <row r="1945" spans="1:8" x14ac:dyDescent="0.25">
      <c r="A1945" s="820">
        <v>1939</v>
      </c>
      <c r="B1945" s="1073" t="str">
        <f t="shared" si="30"/>
        <v>Norway</v>
      </c>
      <c r="C1945" s="1073" t="s">
        <v>494</v>
      </c>
      <c r="F1945" s="822"/>
      <c r="G1945" s="822"/>
      <c r="H1945" s="822"/>
    </row>
    <row r="1946" spans="1:8" x14ac:dyDescent="0.25">
      <c r="A1946" s="820">
        <v>1940</v>
      </c>
      <c r="B1946" s="1073" t="str">
        <f t="shared" si="30"/>
        <v>Poland</v>
      </c>
      <c r="C1946" s="1073" t="s">
        <v>496</v>
      </c>
      <c r="F1946" s="822"/>
      <c r="G1946" s="822"/>
      <c r="H1946" s="822"/>
    </row>
    <row r="1947" spans="1:8" x14ac:dyDescent="0.25">
      <c r="A1947" s="820">
        <v>1941</v>
      </c>
      <c r="B1947" s="1073" t="str">
        <f t="shared" si="30"/>
        <v>Portugal</v>
      </c>
      <c r="C1947" s="1073" t="s">
        <v>498</v>
      </c>
      <c r="F1947" s="822"/>
      <c r="G1947" s="822"/>
      <c r="H1947" s="822"/>
    </row>
    <row r="1948" spans="1:8" x14ac:dyDescent="0.25">
      <c r="A1948" s="820">
        <v>1942</v>
      </c>
      <c r="B1948" s="1073" t="str">
        <f t="shared" si="30"/>
        <v>Romania</v>
      </c>
      <c r="C1948" s="1073" t="s">
        <v>500</v>
      </c>
      <c r="F1948" s="822"/>
      <c r="G1948" s="822"/>
      <c r="H1948" s="822"/>
    </row>
    <row r="1949" spans="1:8" x14ac:dyDescent="0.25">
      <c r="A1949" s="820">
        <v>1943</v>
      </c>
      <c r="B1949" s="1073" t="str">
        <f t="shared" si="30"/>
        <v>Sweden</v>
      </c>
      <c r="C1949" s="1073" t="s">
        <v>508</v>
      </c>
      <c r="F1949" s="822"/>
      <c r="G1949" s="822"/>
      <c r="H1949" s="822"/>
    </row>
    <row r="1950" spans="1:8" x14ac:dyDescent="0.25">
      <c r="A1950" s="820">
        <v>1944</v>
      </c>
      <c r="B1950" s="1073" t="str">
        <f t="shared" si="30"/>
        <v>Slovenia</v>
      </c>
      <c r="C1950" s="1073" t="s">
        <v>504</v>
      </c>
      <c r="F1950" s="822"/>
      <c r="G1950" s="822"/>
      <c r="H1950" s="822"/>
    </row>
    <row r="1951" spans="1:8" x14ac:dyDescent="0.25">
      <c r="A1951" s="820">
        <v>1945</v>
      </c>
      <c r="B1951" s="1073" t="str">
        <f t="shared" si="30"/>
        <v>Slovakia</v>
      </c>
      <c r="C1951" s="1073" t="s">
        <v>502</v>
      </c>
      <c r="F1951" s="822"/>
      <c r="G1951" s="822"/>
      <c r="H1951" s="822"/>
    </row>
    <row r="1952" spans="1:8" x14ac:dyDescent="0.25">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x14ac:dyDescent="0.25">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x14ac:dyDescent="0.25">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x14ac:dyDescent="0.25">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2.75" x14ac:dyDescent="0.2">
      <c r="A1956" s="820">
        <v>1950</v>
      </c>
      <c r="B1956" s="1074" t="str">
        <f t="shared" si="31"/>
        <v>Completeness check:</v>
      </c>
      <c r="C1956" s="1074" t="s">
        <v>394</v>
      </c>
      <c r="F1956" s="822"/>
      <c r="G1956" s="822"/>
      <c r="H1956" s="822"/>
    </row>
    <row r="1957" spans="1:8" ht="12.75" x14ac:dyDescent="0.2">
      <c r="A1957" s="820">
        <v>1951</v>
      </c>
      <c r="B1957" s="867" t="str">
        <f t="shared" si="31"/>
        <v>Country code</v>
      </c>
      <c r="C1957" s="867" t="s">
        <v>125</v>
      </c>
      <c r="F1957" s="822"/>
      <c r="G1957" s="822"/>
      <c r="H1957" s="822"/>
    </row>
    <row r="1958" spans="1:8" ht="16.5" thickBot="1" x14ac:dyDescent="0.3">
      <c r="A1958" s="820">
        <v>1952</v>
      </c>
      <c r="B1958" s="15" t="str">
        <f t="shared" si="31"/>
        <v>Calculation based approaches: Source Streams (excluding PFC emissions)</v>
      </c>
      <c r="C1958" s="15" t="s">
        <v>3945</v>
      </c>
      <c r="F1958" s="822"/>
      <c r="G1958" s="822"/>
      <c r="H1958" s="822"/>
    </row>
    <row r="1959" spans="1:8" ht="13.5" thickBot="1" x14ac:dyDescent="0.25">
      <c r="A1959" s="820">
        <v>1953</v>
      </c>
      <c r="B1959" s="1022" t="str">
        <f t="shared" si="31"/>
        <v>Flue gas flow (average)</v>
      </c>
      <c r="C1959" s="1022" t="s">
        <v>3982</v>
      </c>
      <c r="F1959" s="822"/>
      <c r="G1959" s="822"/>
      <c r="H1959" s="822"/>
    </row>
    <row r="1960" spans="1:8" ht="13.5" thickBot="1" x14ac:dyDescent="0.25">
      <c r="A1960" s="820">
        <v>1954</v>
      </c>
      <c r="B1960" s="1022" t="str">
        <f t="shared" si="31"/>
        <v>Flue gas flow (average), Unit</v>
      </c>
      <c r="C1960" s="1022" t="s">
        <v>3983</v>
      </c>
      <c r="F1960" s="822"/>
      <c r="G1960" s="822"/>
      <c r="H1960" s="822"/>
    </row>
    <row r="1961" spans="1:8" ht="13.5" thickBot="1" x14ac:dyDescent="0.25">
      <c r="A1961" s="820">
        <v>1955</v>
      </c>
      <c r="B1961" s="1022" t="str">
        <f t="shared" si="31"/>
        <v>GWP (tCO2e/t)</v>
      </c>
      <c r="C1961" s="1022" t="s">
        <v>3984</v>
      </c>
      <c r="F1961" s="822"/>
      <c r="G1961" s="822"/>
      <c r="H1961" s="822"/>
    </row>
    <row r="1962" spans="1:8" ht="16.5" thickBot="1" x14ac:dyDescent="0.3">
      <c r="A1962" s="820">
        <v>1956</v>
      </c>
      <c r="B1962" s="15" t="str">
        <f t="shared" si="31"/>
        <v>PFC (perfluorocarbon) emissions</v>
      </c>
      <c r="C1962" s="15" t="s">
        <v>3960</v>
      </c>
      <c r="F1962" s="822"/>
      <c r="G1962" s="822"/>
      <c r="H1962" s="822"/>
    </row>
    <row r="1963" spans="1:8" ht="13.5" thickBot="1" x14ac:dyDescent="0.25">
      <c r="A1963" s="820">
        <v>1957</v>
      </c>
      <c r="B1963" s="1022" t="str">
        <f t="shared" si="31"/>
        <v>Technology type</v>
      </c>
      <c r="C1963" s="1022" t="s">
        <v>3908</v>
      </c>
      <c r="F1963" s="822"/>
      <c r="G1963" s="822"/>
      <c r="H1963" s="822"/>
    </row>
    <row r="1964" spans="1:8" ht="15.75" x14ac:dyDescent="0.25">
      <c r="A1964" s="820">
        <v>1958</v>
      </c>
      <c r="B1964" s="15" t="str">
        <f t="shared" si="31"/>
        <v>Measurement-Based Approaches: Emissions Sources</v>
      </c>
      <c r="C1964" s="15" t="s">
        <v>3993</v>
      </c>
      <c r="F1964" s="822"/>
      <c r="G1964" s="822"/>
      <c r="H1964" s="822"/>
    </row>
    <row r="1965" spans="1:8" x14ac:dyDescent="0.25">
      <c r="A1965" s="820">
        <v>1959</v>
      </c>
      <c r="B1965" s="1091" t="str">
        <f t="shared" si="31"/>
        <v>The entry of total indirect emissions must always be entered manually.</v>
      </c>
      <c r="C1965" s="1091" t="s">
        <v>3994</v>
      </c>
      <c r="F1965" s="822"/>
      <c r="G1965" s="822"/>
      <c r="H1965" s="822"/>
    </row>
    <row r="1966" spans="1:8" ht="12.75" x14ac:dyDescent="0.25">
      <c r="A1966" s="820">
        <v>1960</v>
      </c>
      <c r="B1966" s="1037" t="str">
        <f t="shared" si="31"/>
        <v>Total purchase for possible consumption within installation:</v>
      </c>
      <c r="C1966" s="1037" t="s">
        <v>4078</v>
      </c>
      <c r="F1966" s="822"/>
      <c r="G1966" s="822"/>
      <c r="H1966" s="822"/>
    </row>
    <row r="1967" spans="1:8" ht="12.75" x14ac:dyDescent="0.25">
      <c r="A1967" s="820">
        <v>1961</v>
      </c>
      <c r="B1967" s="1041" t="str">
        <f t="shared" si="31"/>
        <v>Consumed in 'production processes' within the installation:</v>
      </c>
      <c r="C1967" s="1041" t="s">
        <v>4018</v>
      </c>
      <c r="F1967" s="822"/>
      <c r="G1967" s="822"/>
      <c r="H1967" s="822"/>
    </row>
    <row r="1968" spans="1:8" ht="12.75" x14ac:dyDescent="0.25">
      <c r="A1968" s="820">
        <v>1962</v>
      </c>
      <c r="B1968" s="1041" t="str">
        <f t="shared" si="31"/>
        <v>Consumed for other purposes, e.g. sold or used for non-CBAM goods:</v>
      </c>
      <c r="C1968" s="1041" t="s">
        <v>4021</v>
      </c>
      <c r="F1968" s="822"/>
      <c r="G1968" s="822"/>
      <c r="H1968" s="822"/>
    </row>
    <row r="1969" spans="1:8" ht="12.75" x14ac:dyDescent="0.25">
      <c r="A1969" s="820">
        <v>1963</v>
      </c>
      <c r="B1969" s="1046" t="str">
        <f t="shared" si="31"/>
        <v>Specific embedded direct emissions (SEE (direct))</v>
      </c>
      <c r="C1969" s="1046" t="s">
        <v>4024</v>
      </c>
      <c r="F1969" s="822"/>
      <c r="G1969" s="822"/>
      <c r="H1969" s="822"/>
    </row>
    <row r="1970" spans="1:8" ht="12.75" x14ac:dyDescent="0.25">
      <c r="A1970" s="820">
        <v>1964</v>
      </c>
      <c r="B1970" s="1075" t="str">
        <f t="shared" si="31"/>
        <v>Specific electricity consumption (for SEE (indirect))</v>
      </c>
      <c r="C1970" s="1075" t="s">
        <v>3920</v>
      </c>
      <c r="F1970" s="822"/>
      <c r="G1970" s="822"/>
      <c r="H1970" s="822"/>
    </row>
    <row r="1971" spans="1:8" ht="12.75" x14ac:dyDescent="0.25">
      <c r="A1971" s="820">
        <v>1965</v>
      </c>
      <c r="B1971" s="1076" t="str">
        <f t="shared" si="31"/>
        <v>Electricity emission factor (for SEE (indirect))</v>
      </c>
      <c r="C1971" s="1076" t="s">
        <v>3921</v>
      </c>
      <c r="F1971" s="822"/>
      <c r="G1971" s="822"/>
      <c r="H1971" s="822"/>
    </row>
    <row r="1972" spans="1:8" ht="12.75" x14ac:dyDescent="0.25">
      <c r="A1972" s="820">
        <v>1966</v>
      </c>
      <c r="B1972" s="1077" t="str">
        <f t="shared" si="31"/>
        <v>Specific embedded indirect emissions (SEE (indirect))</v>
      </c>
      <c r="C1972" s="1077" t="s">
        <v>4025</v>
      </c>
      <c r="F1972" s="822"/>
      <c r="G1972" s="822"/>
      <c r="H1972" s="822"/>
    </row>
    <row r="1973" spans="1:8" x14ac:dyDescent="0.25">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x14ac:dyDescent="0.25">
      <c r="A1974" s="820">
        <v>1968</v>
      </c>
      <c r="B1974" s="1091" t="str">
        <f t="shared" si="31"/>
        <v>For the reference efficiencies the appropriate fuel-specific values from Annex IX of the Implementing Act should be used.</v>
      </c>
      <c r="C1974" s="1091" t="s">
        <v>4035</v>
      </c>
      <c r="F1974" s="822"/>
      <c r="G1974" s="822"/>
      <c r="H1974" s="822"/>
    </row>
    <row r="1975" spans="1:8" x14ac:dyDescent="0.25">
      <c r="A1975" s="820">
        <v>1969</v>
      </c>
      <c r="B1975" s="1091" t="str">
        <f t="shared" si="31"/>
        <v>Below the default efficiencies for hard coal CHPs producing electricity and hot water are entered as an example.</v>
      </c>
      <c r="C1975" s="1091" t="s">
        <v>4036</v>
      </c>
      <c r="F1975" s="822"/>
      <c r="G1975" s="822"/>
      <c r="H1975" s="822"/>
    </row>
    <row r="1976" spans="1:8" ht="12.75" x14ac:dyDescent="0.25">
      <c r="A1976" s="820">
        <v>1970</v>
      </c>
      <c r="B1976" s="632" t="str">
        <f t="shared" si="31"/>
        <v>Emissions attributable to heat and electricity production from CHP</v>
      </c>
      <c r="C1976" s="632" t="s">
        <v>4037</v>
      </c>
      <c r="F1976" s="822"/>
      <c r="G1976" s="822"/>
      <c r="H1976" s="822"/>
    </row>
    <row r="1977" spans="1:8" x14ac:dyDescent="0.25">
      <c r="A1977" s="820">
        <v>1971</v>
      </c>
      <c r="B1977" s="1091" t="str">
        <f t="shared" si="31"/>
        <v>Calculation results can only be considered correct if complete and consistent data have been reported in sections above.</v>
      </c>
      <c r="C1977" s="1091" t="s">
        <v>4038</v>
      </c>
      <c r="F1977" s="822"/>
      <c r="G1977" s="822"/>
      <c r="H1977" s="822"/>
    </row>
    <row r="1978" spans="1:8" x14ac:dyDescent="0.25">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x14ac:dyDescent="0.25">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x14ac:dyDescent="0.25">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x14ac:dyDescent="0.25">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x14ac:dyDescent="0.25">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x14ac:dyDescent="0.25">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x14ac:dyDescent="0.25">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x14ac:dyDescent="0.25">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x14ac:dyDescent="0.25">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x14ac:dyDescent="0.25">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x14ac:dyDescent="0.25">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x14ac:dyDescent="0.25">
      <c r="A1989" s="820">
        <v>1983</v>
      </c>
      <c r="B1989" s="657" t="str">
        <f t="shared" si="31"/>
        <v>For mass balances, the NCV can be entered for informative purposes, but it is not used for emission calculation.</v>
      </c>
      <c r="C1989" s="657" t="s">
        <v>3951</v>
      </c>
      <c r="F1989" s="822"/>
      <c r="G1989" s="822"/>
      <c r="H1989" s="822"/>
    </row>
    <row r="1990" spans="1:8" x14ac:dyDescent="0.25">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x14ac:dyDescent="0.25">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x14ac:dyDescent="0.25">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x14ac:dyDescent="0.25">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x14ac:dyDescent="0.25">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x14ac:dyDescent="0.25">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x14ac:dyDescent="0.25">
      <c r="A1996" s="820">
        <v>1990</v>
      </c>
      <c r="B1996" s="657" t="str">
        <f t="shared" si="31"/>
        <v>Due to the way how Excel handles percentage values, only numbers WITHOUT percentage sign ("%") must be entered.</v>
      </c>
      <c r="C1996" s="657" t="s">
        <v>3957</v>
      </c>
      <c r="F1996" s="822"/>
      <c r="G1996" s="822"/>
      <c r="H1996" s="822"/>
    </row>
    <row r="1997" spans="1:8" x14ac:dyDescent="0.25">
      <c r="A1997" s="820">
        <v>1991</v>
      </c>
      <c r="B1997" s="651" t="str">
        <f t="shared" si="31"/>
        <v>The unit of the oxidation factor is always percent (%).</v>
      </c>
      <c r="C1997" s="651" t="s">
        <v>3956</v>
      </c>
      <c r="F1997" s="822"/>
      <c r="G1997" s="822"/>
      <c r="H1997" s="822"/>
    </row>
    <row r="1998" spans="1:8" x14ac:dyDescent="0.25">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x14ac:dyDescent="0.25">
      <c r="A1999" s="820">
        <v>1993</v>
      </c>
      <c r="B1999" s="651" t="str">
        <f t="shared" si="31"/>
        <v>The unit of the conversion factor is always percent (%).</v>
      </c>
      <c r="C1999" s="651" t="s">
        <v>3958</v>
      </c>
      <c r="F1999" s="822"/>
      <c r="G1999" s="822"/>
      <c r="H1999" s="822"/>
    </row>
    <row r="2000" spans="1:8" x14ac:dyDescent="0.25">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x14ac:dyDescent="0.25">
      <c r="A2001" s="820">
        <v>1995</v>
      </c>
      <c r="B2001" s="651" t="str">
        <f t="shared" si="31"/>
        <v>The unit of the biomass fraction is always percent (%).</v>
      </c>
      <c r="C2001" s="651" t="s">
        <v>3959</v>
      </c>
      <c r="F2001" s="822"/>
      <c r="G2001" s="822"/>
      <c r="H2001" s="822"/>
    </row>
    <row r="2002" spans="1:8" x14ac:dyDescent="0.25">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x14ac:dyDescent="0.25">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x14ac:dyDescent="0.25">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x14ac:dyDescent="0.25">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x14ac:dyDescent="0.25">
      <c r="A2006" s="820">
        <v>2000</v>
      </c>
      <c r="B2006" s="651" t="str">
        <f t="shared" si="31"/>
        <v>Please provide here the type of anode technology such as Centre Worked Pre-Bake (CWPB), Vertical Stud Søderberg (VSS), etc.</v>
      </c>
      <c r="C2006" s="651" t="s">
        <v>3963</v>
      </c>
      <c r="F2006" s="822"/>
      <c r="G2006" s="822"/>
      <c r="H2006" s="822"/>
    </row>
    <row r="2007" spans="1:8" x14ac:dyDescent="0.25">
      <c r="A2007" s="820">
        <v>2001</v>
      </c>
      <c r="B2007" s="651" t="str">
        <f t="shared" si="31"/>
        <v>The unit of activity data (default: Tonnes)</v>
      </c>
      <c r="C2007" s="651" t="s">
        <v>3966</v>
      </c>
      <c r="F2007" s="822"/>
      <c r="G2007" s="822"/>
      <c r="H2007" s="822"/>
    </row>
    <row r="2008" spans="1:8" x14ac:dyDescent="0.25">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x14ac:dyDescent="0.25">
      <c r="A2009" s="820">
        <v>2003</v>
      </c>
      <c r="B2009" s="651" t="str">
        <f t="shared" si="31"/>
        <v>Method A: The slope emission factor (kgCF4/tAl)/(min/cell-day)</v>
      </c>
      <c r="C2009" s="651" t="s">
        <v>3912</v>
      </c>
      <c r="F2009" s="822"/>
      <c r="G2009" s="822"/>
      <c r="H2009" s="822"/>
    </row>
    <row r="2010" spans="1:8" x14ac:dyDescent="0.25">
      <c r="A2010" s="820">
        <v>2004</v>
      </c>
      <c r="B2010" s="651" t="str">
        <f t="shared" si="31"/>
        <v>Method B: The anode effect overvoltage per cell (mV)</v>
      </c>
      <c r="C2010" s="651" t="s">
        <v>3913</v>
      </c>
      <c r="F2010" s="822"/>
      <c r="G2010" s="822"/>
      <c r="H2010" s="822"/>
    </row>
    <row r="2011" spans="1:8" x14ac:dyDescent="0.25">
      <c r="A2011" s="820">
        <v>2005</v>
      </c>
      <c r="B2011" s="651" t="str">
        <f t="shared" si="31"/>
        <v>Method B: The average current efficiency (as % or values between 0 and 1)</v>
      </c>
      <c r="C2011" s="651" t="s">
        <v>3914</v>
      </c>
      <c r="F2011" s="822"/>
      <c r="G2011" s="822"/>
      <c r="H2011" s="822"/>
    </row>
    <row r="2012" spans="1:8" x14ac:dyDescent="0.25">
      <c r="A2012" s="820">
        <v>2006</v>
      </c>
      <c r="B2012" s="651" t="str">
        <f t="shared" si="31"/>
        <v>Method B: The overvoltage coefficient (‘emission factor’) (kg CF4)/(t Al mV)</v>
      </c>
      <c r="C2012" s="651" t="s">
        <v>3915</v>
      </c>
      <c r="F2012" s="822"/>
      <c r="G2012" s="822"/>
      <c r="H2012" s="822"/>
    </row>
    <row r="2013" spans="1:8" x14ac:dyDescent="0.25">
      <c r="A2013" s="820">
        <v>2007</v>
      </c>
      <c r="B2013" s="651" t="str">
        <f t="shared" si="31"/>
        <v>The weight fraction of C2F6 (t C2F6/t CF4) (both methods A and B)</v>
      </c>
      <c r="C2013" s="651" t="s">
        <v>3965</v>
      </c>
      <c r="F2013" s="822"/>
      <c r="G2013" s="822"/>
      <c r="H2013" s="822"/>
    </row>
    <row r="2014" spans="1:8" x14ac:dyDescent="0.25">
      <c r="A2014" s="820">
        <v>2008</v>
      </c>
      <c r="B2014" s="651" t="str">
        <f t="shared" si="31"/>
        <v>The emissions of CF4 calculated automatically from the previous inputs as tonnes CF4</v>
      </c>
      <c r="C2014" s="651" t="s">
        <v>3970</v>
      </c>
      <c r="F2014" s="822"/>
      <c r="G2014" s="822"/>
      <c r="H2014" s="822"/>
    </row>
    <row r="2015" spans="1:8" x14ac:dyDescent="0.25">
      <c r="A2015" s="820">
        <v>2009</v>
      </c>
      <c r="B2015" s="651" t="str">
        <f t="shared" si="31"/>
        <v>The emissions of C2F6 calculated automatically from the previous inputs as tonnes C2F6</v>
      </c>
      <c r="C2015" s="651" t="s">
        <v>3971</v>
      </c>
      <c r="F2015" s="822"/>
      <c r="G2015" s="822"/>
      <c r="H2015" s="822"/>
    </row>
    <row r="2016" spans="1:8" x14ac:dyDescent="0.25">
      <c r="A2016" s="820">
        <v>2010</v>
      </c>
      <c r="B2016" s="651" t="str">
        <f t="shared" si="31"/>
        <v>Efficiency of the collection of the fugitive PFC emissions (%)</v>
      </c>
      <c r="C2016" s="651" t="s">
        <v>3916</v>
      </c>
      <c r="F2016" s="822"/>
      <c r="G2016" s="822"/>
      <c r="H2016" s="822"/>
    </row>
    <row r="2017" spans="1:8" x14ac:dyDescent="0.25">
      <c r="A2017" s="820">
        <v>2011</v>
      </c>
      <c r="B2017" s="651" t="str">
        <f t="shared" ref="B2017:B2080" si="32">IFERROR(INDEX(C2017:M2017,$A$3-2),$C2017)</f>
        <v>The PFC emissions converted into t CO2e</v>
      </c>
      <c r="C2017" s="651" t="s">
        <v>3972</v>
      </c>
      <c r="F2017" s="822"/>
      <c r="G2017" s="822"/>
      <c r="H2017" s="822"/>
    </row>
    <row r="2018" spans="1:8" x14ac:dyDescent="0.25">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x14ac:dyDescent="0.25">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x14ac:dyDescent="0.25">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x14ac:dyDescent="0.25">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x14ac:dyDescent="0.25">
      <c r="A2022" s="820">
        <v>2016</v>
      </c>
      <c r="B2022" s="651" t="str">
        <f t="shared" si="32"/>
        <v>The weighted average hourly concentration of the GHG measured.</v>
      </c>
      <c r="C2022" s="651" t="s">
        <v>3978</v>
      </c>
      <c r="F2022" s="822"/>
      <c r="G2022" s="822"/>
      <c r="H2022" s="822"/>
    </row>
    <row r="2023" spans="1:8" x14ac:dyDescent="0.25">
      <c r="A2023" s="820">
        <v>2017</v>
      </c>
      <c r="B2023" s="651" t="str">
        <f t="shared" si="32"/>
        <v>The unit in which the hourly average concentration is to be entered in this table. It is always set to g/Nm³.</v>
      </c>
      <c r="C2023" s="651" t="s">
        <v>3979</v>
      </c>
      <c r="F2023" s="822"/>
      <c r="G2023" s="822"/>
      <c r="H2023" s="822"/>
    </row>
    <row r="2024" spans="1:8" x14ac:dyDescent="0.25">
      <c r="A2024" s="820">
        <v>2018</v>
      </c>
      <c r="B2024" s="651" t="str">
        <f t="shared" si="32"/>
        <v>The total hours of operation of the continuous emission measurement during the reporting period.</v>
      </c>
      <c r="C2024" s="651" t="s">
        <v>3980</v>
      </c>
      <c r="F2024" s="822"/>
      <c r="G2024" s="822"/>
      <c r="H2024" s="822"/>
    </row>
    <row r="2025" spans="1:8" x14ac:dyDescent="0.25">
      <c r="A2025" s="820">
        <v>2019</v>
      </c>
      <c r="B2025" s="651" t="str">
        <f t="shared" si="32"/>
        <v>The unit in which the operating hours are to be entered in this table. It is always set to h/period.</v>
      </c>
      <c r="C2025" s="651" t="s">
        <v>3985</v>
      </c>
      <c r="F2025" s="822"/>
      <c r="G2025" s="822"/>
      <c r="H2025" s="822"/>
    </row>
    <row r="2026" spans="1:8" x14ac:dyDescent="0.25">
      <c r="A2026" s="820">
        <v>2020</v>
      </c>
      <c r="B2026" s="651" t="str">
        <f t="shared" si="32"/>
        <v>The unit in which the flue gas flow is to be entered in this table. It is always set to 1000Nm3/h.</v>
      </c>
      <c r="C2026" s="651" t="s">
        <v>3987</v>
      </c>
      <c r="F2026" s="822"/>
      <c r="G2026" s="822"/>
      <c r="H2026" s="822"/>
    </row>
    <row r="2027" spans="1:8" x14ac:dyDescent="0.25">
      <c r="A2027" s="820">
        <v>2021</v>
      </c>
      <c r="B2027" s="651" t="str">
        <f t="shared" si="32"/>
        <v>The total quantity (mass) of the GHG monitored using CEMS in the reporting period.</v>
      </c>
      <c r="C2027" s="651" t="s">
        <v>3988</v>
      </c>
      <c r="F2027" s="822"/>
      <c r="G2027" s="822"/>
      <c r="H2027" s="822"/>
    </row>
    <row r="2028" spans="1:8" x14ac:dyDescent="0.25">
      <c r="A2028" s="820">
        <v>2022</v>
      </c>
      <c r="B2028" s="651" t="str">
        <f t="shared" si="32"/>
        <v>The unit in which the mass of GHG emitted is calculated in this table. It is always set to tonnes.</v>
      </c>
      <c r="C2028" s="651" t="s">
        <v>3989</v>
      </c>
      <c r="F2028" s="822"/>
      <c r="G2028" s="822"/>
      <c r="H2028" s="822"/>
    </row>
    <row r="2029" spans="1:8" x14ac:dyDescent="0.25">
      <c r="A2029" s="820">
        <v>2023</v>
      </c>
      <c r="B2029" s="651" t="str">
        <f t="shared" si="32"/>
        <v>The GWP (global warming potential) of the GHG monitored.</v>
      </c>
      <c r="C2029" s="651" t="s">
        <v>3990</v>
      </c>
      <c r="F2029" s="822"/>
      <c r="G2029" s="822"/>
      <c r="H2029" s="822"/>
    </row>
    <row r="2030" spans="1:8" x14ac:dyDescent="0.25">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x14ac:dyDescent="0.25">
      <c r="A2031" s="820">
        <v>2025</v>
      </c>
      <c r="B2031" s="1100" t="str">
        <f t="shared" si="32"/>
        <v>Emissions (tCO2e)</v>
      </c>
      <c r="C2031" s="1100" t="s">
        <v>3992</v>
      </c>
      <c r="F2031" s="822"/>
      <c r="G2031" s="822"/>
      <c r="H2031" s="822"/>
    </row>
    <row r="2032" spans="1:8" x14ac:dyDescent="0.25">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x14ac:dyDescent="0.2">
      <c r="A2033" s="820">
        <v>2027</v>
      </c>
      <c r="B2033" s="1101" t="str">
        <f t="shared" si="32"/>
        <v>General information on each production process</v>
      </c>
      <c r="C2033" s="1101" t="s">
        <v>4002</v>
      </c>
      <c r="F2033" s="822"/>
      <c r="G2033" s="822"/>
      <c r="H2033" s="822"/>
    </row>
    <row r="2034" spans="1:8" x14ac:dyDescent="0.25">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x14ac:dyDescent="0.25">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x14ac:dyDescent="0.25">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x14ac:dyDescent="0.25">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x14ac:dyDescent="0.25">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x14ac:dyDescent="0.25">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x14ac:dyDescent="0.25">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x14ac:dyDescent="0.25">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x14ac:dyDescent="0.25">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x14ac:dyDescent="0.25">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x14ac:dyDescent="0.25">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x14ac:dyDescent="0.25">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x14ac:dyDescent="0.25">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x14ac:dyDescent="0.25">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x14ac:dyDescent="0.25">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x14ac:dyDescent="0.25">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x14ac:dyDescent="0.25">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x14ac:dyDescent="0.25">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x14ac:dyDescent="0.25">
      <c r="A2052" s="820">
        <v>2046</v>
      </c>
      <c r="B2052" s="651" t="str">
        <f t="shared" si="32"/>
        <v>The EF of the electricity can be determined by the following methods:</v>
      </c>
      <c r="C2052" s="651" t="s">
        <v>3931</v>
      </c>
      <c r="F2052" s="822"/>
      <c r="G2052" s="822"/>
      <c r="H2052" s="822"/>
    </row>
    <row r="2053" spans="1:8" x14ac:dyDescent="0.25">
      <c r="A2053" s="820">
        <v>2047</v>
      </c>
      <c r="B2053" s="657" t="str">
        <f t="shared" si="32"/>
        <v>EF based on IEA data, provided by the European Commission</v>
      </c>
      <c r="C2053" s="657" t="s">
        <v>3932</v>
      </c>
      <c r="F2053" s="822"/>
      <c r="G2053" s="822"/>
      <c r="H2053" s="822"/>
    </row>
    <row r="2054" spans="1:8" x14ac:dyDescent="0.25">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x14ac:dyDescent="0.25">
      <c r="A2055" s="820">
        <v>2049</v>
      </c>
      <c r="B2055" s="651" t="str">
        <f t="shared" si="32"/>
        <v>EF of electricity produced in the installation other than by cogeneration</v>
      </c>
      <c r="C2055" s="651" t="s">
        <v>3933</v>
      </c>
      <c r="F2055" s="822"/>
      <c r="G2055" s="822"/>
      <c r="H2055" s="822"/>
    </row>
    <row r="2056" spans="1:8" x14ac:dyDescent="0.25">
      <c r="A2056" s="820">
        <v>2050</v>
      </c>
      <c r="B2056" s="651" t="str">
        <f t="shared" si="32"/>
        <v>EF of electricity produced in the installation by cogeneration</v>
      </c>
      <c r="C2056" s="651" t="s">
        <v>3934</v>
      </c>
      <c r="F2056" s="822"/>
      <c r="G2056" s="822"/>
      <c r="H2056" s="822"/>
    </row>
    <row r="2057" spans="1:8" x14ac:dyDescent="0.25">
      <c r="A2057" s="820">
        <v>2051</v>
      </c>
      <c r="B2057" s="651" t="str">
        <f t="shared" si="32"/>
        <v>EF of electricity produced outside the installation (received from a source with a direct technical link)</v>
      </c>
      <c r="C2057" s="651" t="s">
        <v>3935</v>
      </c>
      <c r="F2057" s="822"/>
      <c r="G2057" s="822"/>
      <c r="H2057" s="822"/>
    </row>
    <row r="2058" spans="1:8" x14ac:dyDescent="0.25">
      <c r="A2058" s="820">
        <v>2052</v>
      </c>
      <c r="B2058" s="651" t="str">
        <f t="shared" si="32"/>
        <v>EF of electricity produced outside the installation (received from a producer under a power purchase agreement)</v>
      </c>
      <c r="C2058" s="651" t="s">
        <v>3936</v>
      </c>
      <c r="F2058" s="822"/>
      <c r="G2058" s="822"/>
      <c r="H2058" s="822"/>
    </row>
    <row r="2059" spans="1:8" x14ac:dyDescent="0.25">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x14ac:dyDescent="0.25">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x14ac:dyDescent="0.25">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x14ac:dyDescent="0.25">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x14ac:dyDescent="0.25">
      <c r="A2063" s="820">
        <v>2057</v>
      </c>
      <c r="B2063" s="651" t="str">
        <f t="shared" si="32"/>
        <v>This is an automatic calculation "a-(b+c)". Please ensure that this value is zero.</v>
      </c>
      <c r="C2063" s="651" t="s">
        <v>4023</v>
      </c>
      <c r="F2063" s="822"/>
      <c r="G2063" s="822"/>
      <c r="H2063" s="822"/>
    </row>
    <row r="2064" spans="1:8" x14ac:dyDescent="0.25">
      <c r="A2064" s="820">
        <v>2058</v>
      </c>
      <c r="B2064" s="656" t="str">
        <f t="shared" si="32"/>
        <v>Please enter here the values obtained from the supplier of the precursor, and the data source given by the supplier.</v>
      </c>
      <c r="C2064" s="656" t="s">
        <v>4028</v>
      </c>
      <c r="F2064" s="822"/>
      <c r="G2064" s="822"/>
      <c r="H2064" s="822"/>
    </row>
    <row r="2065" spans="1:8" x14ac:dyDescent="0.25">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x14ac:dyDescent="0.25">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x14ac:dyDescent="0.25">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x14ac:dyDescent="0.25">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x14ac:dyDescent="0.25">
      <c r="A2069" s="820">
        <v>2063</v>
      </c>
      <c r="B2069" s="651" t="str">
        <f t="shared" si="32"/>
        <v>The specific embedded indirect emissions are calculated by the template as electricity consumed times the emission factor.</v>
      </c>
      <c r="C2069" s="651" t="s">
        <v>4203</v>
      </c>
      <c r="F2069" s="822"/>
      <c r="G2069" s="822"/>
      <c r="H2069" s="822"/>
    </row>
    <row r="2070" spans="1:8" x14ac:dyDescent="0.25">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x14ac:dyDescent="0.25">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x14ac:dyDescent="0.25">
      <c r="A2072" s="820">
        <v>2066</v>
      </c>
      <c r="B2072" s="651" t="str">
        <f t="shared" si="32"/>
        <v>The full text name of the selected CN category will be displayed here automatically after selecting the CN code.</v>
      </c>
      <c r="C2072" s="651" t="s">
        <v>4045</v>
      </c>
      <c r="F2072" s="822"/>
      <c r="G2072" s="822"/>
      <c r="H2072" s="822"/>
    </row>
    <row r="2073" spans="1:8" x14ac:dyDescent="0.25">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x14ac:dyDescent="0.25">
      <c r="A2074" s="820">
        <v>2068</v>
      </c>
      <c r="B2074" s="657" t="str">
        <f t="shared" si="32"/>
        <v>The unit for all SEE values is t CO2e per tonne of product. For electricity as product SEE is in the unit of t CO2e per MWh.</v>
      </c>
      <c r="C2074" s="657" t="s">
        <v>4047</v>
      </c>
      <c r="F2074" s="822"/>
      <c r="G2074" s="822"/>
      <c r="H2074" s="822"/>
    </row>
    <row r="2075" spans="1:8" x14ac:dyDescent="0.25">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x14ac:dyDescent="0.25">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x14ac:dyDescent="0.25">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x14ac:dyDescent="0.25">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x14ac:dyDescent="0.25">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x14ac:dyDescent="0.25">
      <c r="A2080" s="820">
        <v>2074</v>
      </c>
      <c r="B2080" s="658" t="str">
        <f t="shared" si="32"/>
        <v>General note:</v>
      </c>
      <c r="C2080" s="658" t="s">
        <v>4051</v>
      </c>
      <c r="F2080" s="822"/>
      <c r="G2080" s="822"/>
      <c r="H2080" s="822"/>
    </row>
    <row r="2081" spans="1:8" x14ac:dyDescent="0.25">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x14ac:dyDescent="0.25">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x14ac:dyDescent="0.25">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x14ac:dyDescent="0.25">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x14ac:dyDescent="0.25">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x14ac:dyDescent="0.25">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2.75" x14ac:dyDescent="0.2">
      <c r="A2087" s="820">
        <v>2081</v>
      </c>
      <c r="B2087" s="1102" t="str">
        <f t="shared" si="33"/>
        <v>Activity level</v>
      </c>
      <c r="C2087" s="1102" t="s">
        <v>4082</v>
      </c>
      <c r="F2087" s="822"/>
      <c r="G2087" s="822"/>
      <c r="H2087" s="822"/>
    </row>
    <row r="2088" spans="1:8" ht="12.75" x14ac:dyDescent="0.2">
      <c r="A2088" s="820">
        <v>2082</v>
      </c>
      <c r="B2088" s="1102" t="str">
        <f t="shared" si="33"/>
        <v>unit</v>
      </c>
      <c r="C2088" s="1102" t="s">
        <v>4083</v>
      </c>
      <c r="F2088" s="822"/>
      <c r="G2088" s="822"/>
      <c r="H2088" s="822"/>
    </row>
    <row r="2089" spans="1:8" x14ac:dyDescent="0.25">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x14ac:dyDescent="0.25">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2.75" x14ac:dyDescent="0.2">
      <c r="A2091" s="820">
        <v>2085</v>
      </c>
      <c r="B2091" s="2" t="str">
        <f t="shared" si="33"/>
        <v>Transitional</v>
      </c>
      <c r="C2091" s="2" t="s">
        <v>131</v>
      </c>
      <c r="F2091" s="822"/>
      <c r="G2091" s="822"/>
      <c r="H2091" s="822"/>
    </row>
    <row r="2092" spans="1:8" ht="12.75" x14ac:dyDescent="0.2">
      <c r="A2092" s="820">
        <v>2086</v>
      </c>
      <c r="B2092" s="1078" t="str">
        <f t="shared" si="33"/>
        <v>Definitive</v>
      </c>
      <c r="C2092" s="1078" t="s">
        <v>132</v>
      </c>
      <c r="F2092" s="822"/>
      <c r="G2092" s="822"/>
      <c r="H2092" s="822"/>
    </row>
    <row r="2093" spans="1:8" ht="12.75" x14ac:dyDescent="0.2">
      <c r="A2093" s="820">
        <v>2087</v>
      </c>
      <c r="B2093" s="1068" t="str">
        <f t="shared" si="33"/>
        <v>h/period</v>
      </c>
      <c r="C2093" s="1068" t="s">
        <v>3981</v>
      </c>
      <c r="F2093" s="822"/>
      <c r="G2093" s="822"/>
      <c r="H2093" s="822"/>
    </row>
    <row r="2094" spans="1:8" ht="12.75" x14ac:dyDescent="0.2">
      <c r="A2094" s="820">
        <v>2088</v>
      </c>
      <c r="B2094" s="1032" t="str">
        <f t="shared" si="33"/>
        <v>Inconsistent!</v>
      </c>
      <c r="C2094" s="1032" t="s">
        <v>4066</v>
      </c>
      <c r="F2094" s="822"/>
      <c r="G2094" s="822"/>
      <c r="H2094" s="822"/>
    </row>
    <row r="2095" spans="1:8" ht="12.75" x14ac:dyDescent="0.2">
      <c r="A2095" s="820">
        <v>2089</v>
      </c>
      <c r="B2095" s="1032" t="str">
        <f t="shared" si="33"/>
        <v>Unknown</v>
      </c>
      <c r="C2095" s="1032" t="s">
        <v>4026</v>
      </c>
      <c r="F2095" s="822"/>
      <c r="G2095" s="822"/>
      <c r="H2095" s="822"/>
    </row>
    <row r="2096" spans="1:8" ht="12.75" x14ac:dyDescent="0.2">
      <c r="A2096" s="820">
        <v>2090</v>
      </c>
      <c r="B2096" s="1079" t="str">
        <f t="shared" si="33"/>
        <v>Indirect emissions relevant?</v>
      </c>
      <c r="C2096" s="1079" t="s">
        <v>30</v>
      </c>
      <c r="F2096" s="822"/>
      <c r="G2096" s="822"/>
      <c r="H2096" s="822"/>
    </row>
    <row r="2097" spans="1:8" ht="12.75" x14ac:dyDescent="0.2">
      <c r="A2097" s="820">
        <v>2091</v>
      </c>
      <c r="B2097" s="1079" t="str">
        <f t="shared" si="33"/>
        <v>Relevant precursors</v>
      </c>
      <c r="C2097" s="1079" t="s">
        <v>32</v>
      </c>
      <c r="F2097" s="822"/>
      <c r="G2097" s="822"/>
      <c r="H2097" s="822"/>
    </row>
    <row r="2098" spans="1:8" ht="12.75" x14ac:dyDescent="0.2">
      <c r="A2098" s="820">
        <v>2092</v>
      </c>
      <c r="B2098" s="375" t="str">
        <f t="shared" si="33"/>
        <v>CBAM good</v>
      </c>
      <c r="C2098" s="375" t="s">
        <v>23</v>
      </c>
      <c r="F2098" s="822"/>
      <c r="G2098" s="822"/>
      <c r="H2098" s="822"/>
    </row>
    <row r="2099" spans="1:8" ht="12.75" x14ac:dyDescent="0.2">
      <c r="A2099" s="820">
        <v>2093</v>
      </c>
      <c r="B2099" s="375" t="str">
        <f t="shared" si="33"/>
        <v>Indir.em relevant? (definitive)</v>
      </c>
      <c r="C2099" s="375" t="s">
        <v>3995</v>
      </c>
      <c r="F2099" s="822"/>
      <c r="G2099" s="822"/>
      <c r="H2099" s="822"/>
    </row>
    <row r="2100" spans="1:8" ht="12.75" x14ac:dyDescent="0.2">
      <c r="A2100" s="820">
        <v>2094</v>
      </c>
      <c r="B2100" s="375" t="str">
        <f t="shared" si="33"/>
        <v>Indir.em relevant? (transitional</v>
      </c>
      <c r="C2100" s="375" t="s">
        <v>3996</v>
      </c>
      <c r="F2100" s="822"/>
      <c r="G2100" s="822"/>
      <c r="H2100" s="822"/>
    </row>
    <row r="2101" spans="1:8" ht="12.75" x14ac:dyDescent="0.2">
      <c r="A2101" s="820">
        <v>2095</v>
      </c>
      <c r="B2101" s="375" t="str">
        <f t="shared" si="33"/>
        <v>Production route relevant?</v>
      </c>
      <c r="C2101" s="375" t="s">
        <v>29</v>
      </c>
      <c r="F2101" s="822"/>
      <c r="G2101" s="822"/>
      <c r="H2101" s="822"/>
    </row>
    <row r="2102" spans="1:8" ht="12.75" x14ac:dyDescent="0.2">
      <c r="A2102" s="820">
        <v>2096</v>
      </c>
      <c r="B2102" s="375" t="str">
        <f t="shared" si="33"/>
        <v>Address</v>
      </c>
      <c r="C2102" s="375" t="s">
        <v>26</v>
      </c>
      <c r="F2102" s="822"/>
      <c r="G2102" s="822"/>
      <c r="H2102" s="822"/>
    </row>
    <row r="2103" spans="1:8" ht="12.75" x14ac:dyDescent="0.2">
      <c r="A2103" s="820">
        <v>2097</v>
      </c>
      <c r="B2103" s="1079" t="str">
        <f t="shared" si="33"/>
        <v>Special parameters to be reported</v>
      </c>
      <c r="C2103" s="1079" t="s">
        <v>298</v>
      </c>
      <c r="F2103" s="822"/>
      <c r="G2103" s="822"/>
      <c r="H2103" s="822"/>
    </row>
    <row r="2104" spans="1:8" ht="15" customHeight="1" x14ac:dyDescent="0.25">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x14ac:dyDescent="0.25">
      <c r="A2105" s="820">
        <v>2099</v>
      </c>
      <c r="B2105" s="821" t="str">
        <f t="shared" si="33"/>
        <v>Regional Emissions Trading System</v>
      </c>
      <c r="C2105" s="821" t="s">
        <v>4221</v>
      </c>
      <c r="F2105" s="822"/>
      <c r="G2105" s="822"/>
      <c r="H2105" s="822"/>
    </row>
    <row r="2106" spans="1:8" x14ac:dyDescent="0.25">
      <c r="A2106" s="820">
        <v>2100</v>
      </c>
      <c r="B2106" s="821" t="str">
        <f t="shared" si="33"/>
        <v>Carbon Levy</v>
      </c>
      <c r="C2106" s="821" t="s">
        <v>4223</v>
      </c>
      <c r="F2106" s="822"/>
      <c r="G2106" s="822"/>
      <c r="H2106" s="822"/>
    </row>
    <row r="2107" spans="1:8" x14ac:dyDescent="0.25">
      <c r="A2107" s="820">
        <v>2101</v>
      </c>
      <c r="B2107" s="821" t="str">
        <f t="shared" si="33"/>
        <v>Carbon Fee</v>
      </c>
      <c r="C2107" s="821" t="s">
        <v>4222</v>
      </c>
      <c r="F2107" s="822"/>
      <c r="G2107" s="822"/>
      <c r="H2107" s="822"/>
    </row>
    <row r="2108" spans="1:8" x14ac:dyDescent="0.2">
      <c r="A2108" s="820">
        <v>2102</v>
      </c>
      <c r="B2108" s="628" t="str">
        <f t="shared" si="33"/>
        <v>Aluminium slabs, not alloyed, unwrought</v>
      </c>
      <c r="C2108" s="628" t="s">
        <v>4235</v>
      </c>
    </row>
    <row r="2109" spans="1:8" x14ac:dyDescent="0.2">
      <c r="A2109" s="820">
        <v>2103</v>
      </c>
      <c r="B2109" s="628" t="str">
        <f t="shared" si="33"/>
        <v>Aluminium, not alloyed, unwrought (excl. slabs)</v>
      </c>
      <c r="C2109" s="628" t="s">
        <v>4238</v>
      </c>
    </row>
    <row r="2110" spans="1:8" x14ac:dyDescent="0.2">
      <c r="A2110" s="820">
        <v>2104</v>
      </c>
      <c r="B2110" s="628" t="str">
        <f t="shared" si="33"/>
        <v>Unwrought aluminium alloys in the form of slabs</v>
      </c>
      <c r="C2110" s="628" t="s">
        <v>4241</v>
      </c>
    </row>
    <row r="2111" spans="1:8" x14ac:dyDescent="0.2">
      <c r="A2111" s="820">
        <v>2105</v>
      </c>
      <c r="B2111" s="628" t="str">
        <f t="shared" si="33"/>
        <v>Unwrought aluminium alloys in the form of billets</v>
      </c>
      <c r="C2111" s="628" t="s">
        <v>4244</v>
      </c>
    </row>
    <row r="2112" spans="1:8" ht="12.75" x14ac:dyDescent="0.25">
      <c r="A2112" s="820">
        <v>2106</v>
      </c>
      <c r="B2112" s="166" t="str">
        <f t="shared" si="33"/>
        <v>Carbon price instrument:</v>
      </c>
      <c r="C2112" s="166" t="s">
        <v>4245</v>
      </c>
    </row>
    <row r="2113" spans="1:8" x14ac:dyDescent="0.25">
      <c r="A2113" s="820">
        <v>2107</v>
      </c>
      <c r="B2113" s="1141" t="str">
        <f t="shared" si="33"/>
        <v>Description and indication of legal act for the carbon price, and for possible rebate or other form of compensation obtained.</v>
      </c>
      <c r="C2113" s="1141" t="s">
        <v>4246</v>
      </c>
    </row>
    <row r="2114" spans="1:8" ht="12.75" x14ac:dyDescent="0.25">
      <c r="A2114" s="820">
        <v>2108</v>
      </c>
      <c r="B2114" s="1142" t="str">
        <f t="shared" si="33"/>
        <v>Any additional information:</v>
      </c>
      <c r="C2114" s="1142" t="s">
        <v>4247</v>
      </c>
    </row>
    <row r="2115" spans="1:8" x14ac:dyDescent="0.25">
      <c r="A2115" s="820">
        <v>2109</v>
      </c>
      <c r="B2115" s="1141" t="str">
        <f t="shared" si="33"/>
        <v>Any additional information you would like to provide to the reporting declarant.</v>
      </c>
      <c r="C2115" s="1141" t="s">
        <v>4248</v>
      </c>
    </row>
    <row r="2116" spans="1:8" ht="15" customHeight="1" x14ac:dyDescent="0.25">
      <c r="A2116" s="820">
        <v>2110</v>
      </c>
      <c r="B2116" s="1139" t="str">
        <f t="shared" si="33"/>
        <v>Minor revision of the CN code list, field for further information on carbon price instruments added</v>
      </c>
      <c r="C2116" s="1139" t="s">
        <v>4251</v>
      </c>
    </row>
    <row r="2117" spans="1:8" ht="12.75" x14ac:dyDescent="0.25">
      <c r="A2117" s="820">
        <v>2111</v>
      </c>
      <c r="B2117" s="227" t="str">
        <f t="shared" si="33"/>
        <v>Further information</v>
      </c>
      <c r="C2117" s="227" t="s">
        <v>4252</v>
      </c>
    </row>
    <row r="2118" spans="1:8" ht="14.45" customHeight="1" x14ac:dyDescent="0.25">
      <c r="A2118" s="820">
        <v>2112</v>
      </c>
      <c r="B2118" s="1151" t="str">
        <f t="shared" ref="B2118:B2125" si="34">IFERROR(INDEX(C2118:M2118,$A$3-2),$C2118)</f>
        <v>Conditional format bug in sheet Summary_Products corrected</v>
      </c>
      <c r="C2118" s="1151" t="s">
        <v>4253</v>
      </c>
    </row>
    <row r="2119" spans="1:8" x14ac:dyDescent="0.2">
      <c r="A2119" s="820">
        <v>2113</v>
      </c>
      <c r="B2119" s="1153" t="str">
        <f t="shared" si="34"/>
        <v>Remark on how to enter default values for indirect embedded emissions</v>
      </c>
      <c r="C2119" s="1153" t="s">
        <v>4254</v>
      </c>
      <c r="H2119" s="1152"/>
    </row>
    <row r="2120" spans="1:8" x14ac:dyDescent="0.25">
      <c r="A2120" s="820">
        <v>2114</v>
      </c>
      <c r="B2120" s="115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4" t="s">
        <v>4255</v>
      </c>
      <c r="H2120" s="1152"/>
    </row>
    <row r="2121" spans="1:8" x14ac:dyDescent="0.25">
      <c r="A2121" s="820">
        <v>2115</v>
      </c>
      <c r="B2121" s="1155" t="str">
        <f t="shared" si="34"/>
        <v xml:space="preserve">First determine the applicable emission factor for electricity in the country of origin of the purchased precursor (options in accordance with point iii. above). </v>
      </c>
      <c r="C2121" s="1155" t="s">
        <v>4256</v>
      </c>
      <c r="H2121" s="1152"/>
    </row>
    <row r="2122" spans="1:8" x14ac:dyDescent="0.25">
      <c r="A2122" s="820">
        <v>2116</v>
      </c>
      <c r="B2122" s="1155" t="str">
        <f t="shared" si="34"/>
        <v>Secondly, divide the default value for the indirect specific embedded emissions by that emission factor. The result is the specific electricity consumption that is to be entered in field ii.</v>
      </c>
      <c r="C2122" s="1155" t="s">
        <v>4257</v>
      </c>
      <c r="H2122" s="1152"/>
    </row>
    <row r="2123" spans="1:8" x14ac:dyDescent="0.25">
      <c r="A2123" s="820">
        <v>2117</v>
      </c>
      <c r="B2123" s="1155" t="str">
        <f t="shared" si="34"/>
        <v>Enter the emission factor determined in the first step in field iii.</v>
      </c>
      <c r="C2123" s="1155" t="s">
        <v>4258</v>
      </c>
      <c r="H2123" s="1152"/>
    </row>
    <row r="2124" spans="1:8" x14ac:dyDescent="0.25">
      <c r="A2124" s="820">
        <v>2118</v>
      </c>
      <c r="B2124" s="115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6" t="s">
        <v>4259</v>
      </c>
      <c r="H2124" s="1152"/>
    </row>
    <row r="2125" spans="1:8" ht="25.5" x14ac:dyDescent="0.2">
      <c r="A2125" s="820">
        <v>2119</v>
      </c>
      <c r="B2125" s="1158" t="str">
        <f t="shared" si="34"/>
        <v>Electricity EF (tCO2/MWh)</v>
      </c>
      <c r="C2125" s="1158" t="s">
        <v>4263</v>
      </c>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B2" sqref="B2:F2"/>
    </sheetView>
  </sheetViews>
  <sheetFormatPr baseColWidth="10" defaultColWidth="11.42578125" defaultRowHeight="14.25" x14ac:dyDescent="0.2"/>
  <cols>
    <col min="1" max="1" width="23.42578125" style="45" customWidth="1"/>
    <col min="2" max="2" width="34.7109375" style="45" customWidth="1"/>
    <col min="3" max="3" width="15.140625" style="45" customWidth="1"/>
    <col min="4" max="4" width="15.42578125" style="45" customWidth="1"/>
    <col min="5" max="5" width="11.42578125" style="45"/>
    <col min="6" max="16384" width="11.42578125" style="282"/>
  </cols>
  <sheetData>
    <row r="1" spans="1:5" ht="15" thickBot="1" x14ac:dyDescent="0.25">
      <c r="A1" s="35" t="s">
        <v>436</v>
      </c>
    </row>
    <row r="2" spans="1:5" ht="15" thickBot="1" x14ac:dyDescent="0.25">
      <c r="A2" s="46" t="s">
        <v>437</v>
      </c>
      <c r="B2" s="47" t="s">
        <v>4070</v>
      </c>
    </row>
    <row r="3" spans="1:5" ht="15" thickBot="1" x14ac:dyDescent="0.25">
      <c r="A3" s="48" t="s">
        <v>438</v>
      </c>
      <c r="B3" s="49">
        <v>45639</v>
      </c>
      <c r="C3" s="50" t="str">
        <f>IF(ISNUMBER(MATCH(B3,A14:A28,0)),VLOOKUP(B3,A14:B28,2,FALSE),"---")</f>
        <v>CBAM SEE Communication V2_UBA_en_131224.xls</v>
      </c>
      <c r="D3" s="51"/>
      <c r="E3" s="52"/>
    </row>
    <row r="4" spans="1:5" x14ac:dyDescent="0.2">
      <c r="A4" s="53" t="s">
        <v>439</v>
      </c>
      <c r="B4" s="54" t="s">
        <v>448</v>
      </c>
    </row>
    <row r="5" spans="1:5" ht="15" thickBot="1" x14ac:dyDescent="0.25">
      <c r="A5" s="55" t="s">
        <v>441</v>
      </c>
      <c r="B5" s="56" t="s">
        <v>442</v>
      </c>
    </row>
    <row r="7" spans="1:5" x14ac:dyDescent="0.2">
      <c r="A7" s="36" t="s">
        <v>443</v>
      </c>
    </row>
    <row r="8" spans="1:5" x14ac:dyDescent="0.2">
      <c r="A8" s="37" t="s">
        <v>598</v>
      </c>
      <c r="B8" s="57"/>
      <c r="C8" s="38" t="s">
        <v>599</v>
      </c>
    </row>
    <row r="9" spans="1:5" x14ac:dyDescent="0.2">
      <c r="A9" s="37" t="s">
        <v>4070</v>
      </c>
      <c r="B9" s="57"/>
      <c r="C9" s="38" t="s">
        <v>4071</v>
      </c>
    </row>
    <row r="10" spans="1:5" x14ac:dyDescent="0.2">
      <c r="A10" s="37"/>
      <c r="B10" s="57"/>
      <c r="C10" s="38"/>
    </row>
    <row r="11" spans="1:5" x14ac:dyDescent="0.2">
      <c r="A11" s="37"/>
      <c r="B11" s="57"/>
      <c r="C11" s="38"/>
    </row>
    <row r="12" spans="1:5" x14ac:dyDescent="0.2">
      <c r="A12" s="58"/>
    </row>
    <row r="13" spans="1:5" x14ac:dyDescent="0.2">
      <c r="A13" s="39" t="s">
        <v>444</v>
      </c>
      <c r="B13" s="40" t="s">
        <v>445</v>
      </c>
      <c r="C13" s="40" t="s">
        <v>446</v>
      </c>
      <c r="D13" s="59"/>
    </row>
    <row r="14" spans="1:5" x14ac:dyDescent="0.2">
      <c r="A14" s="60">
        <v>45159</v>
      </c>
      <c r="B14" s="61" t="s">
        <v>4072</v>
      </c>
      <c r="C14" s="41" t="s">
        <v>3892</v>
      </c>
      <c r="D14" s="62"/>
    </row>
    <row r="15" spans="1:5" x14ac:dyDescent="0.2">
      <c r="A15" s="63">
        <v>45222</v>
      </c>
      <c r="B15" s="64" t="s">
        <v>4073</v>
      </c>
      <c r="C15" s="42" t="s">
        <v>3894</v>
      </c>
      <c r="D15" s="65"/>
    </row>
    <row r="16" spans="1:5" x14ac:dyDescent="0.2">
      <c r="A16" s="63">
        <v>45237</v>
      </c>
      <c r="B16" s="64" t="s">
        <v>4074</v>
      </c>
      <c r="C16" s="42" t="s">
        <v>4114</v>
      </c>
      <c r="D16" s="65"/>
    </row>
    <row r="17" spans="1:4" x14ac:dyDescent="0.2">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
      <c r="A18" s="63">
        <v>45390</v>
      </c>
      <c r="B18" s="64" t="str">
        <f t="shared" si="0"/>
        <v>CBAM SEE Communication V2_UBA_en_080424.xls</v>
      </c>
      <c r="C18" s="42" t="s">
        <v>4214</v>
      </c>
      <c r="D18" s="65"/>
    </row>
    <row r="19" spans="1:4" x14ac:dyDescent="0.2">
      <c r="A19" s="63">
        <v>45448</v>
      </c>
      <c r="B19" s="64" t="str">
        <f t="shared" si="0"/>
        <v>CBAM SEE Communication V2_UBA_en_050624.xls</v>
      </c>
      <c r="C19" s="42" t="s">
        <v>4249</v>
      </c>
      <c r="D19" s="65"/>
    </row>
    <row r="20" spans="1:4" x14ac:dyDescent="0.2">
      <c r="A20" s="63">
        <v>45639</v>
      </c>
      <c r="B20" s="64" t="str">
        <f t="shared" si="0"/>
        <v>CBAM SEE Communication V2_UBA_en_131224.xls</v>
      </c>
      <c r="C20" s="42" t="s">
        <v>4262</v>
      </c>
      <c r="D20" s="65"/>
    </row>
    <row r="21" spans="1:4" x14ac:dyDescent="0.2">
      <c r="A21" s="63"/>
      <c r="B21" s="64" t="str">
        <f t="shared" si="0"/>
        <v>---</v>
      </c>
      <c r="C21" s="42"/>
      <c r="D21" s="65"/>
    </row>
    <row r="22" spans="1:4" x14ac:dyDescent="0.2">
      <c r="A22" s="63"/>
      <c r="B22" s="64" t="str">
        <f t="shared" si="0"/>
        <v>---</v>
      </c>
      <c r="C22" s="42"/>
      <c r="D22" s="65"/>
    </row>
    <row r="23" spans="1:4" x14ac:dyDescent="0.2">
      <c r="A23" s="63"/>
      <c r="B23" s="64" t="str">
        <f t="shared" si="0"/>
        <v>---</v>
      </c>
      <c r="C23" s="42"/>
      <c r="D23" s="65"/>
    </row>
    <row r="24" spans="1:4" x14ac:dyDescent="0.2">
      <c r="A24" s="63"/>
      <c r="B24" s="64" t="str">
        <f t="shared" si="0"/>
        <v>---</v>
      </c>
      <c r="C24" s="42"/>
      <c r="D24" s="65"/>
    </row>
    <row r="25" spans="1:4" x14ac:dyDescent="0.2">
      <c r="A25" s="63"/>
      <c r="B25" s="64" t="str">
        <f t="shared" si="0"/>
        <v>---</v>
      </c>
      <c r="C25" s="42"/>
      <c r="D25" s="65"/>
    </row>
    <row r="26" spans="1:4" x14ac:dyDescent="0.2">
      <c r="A26" s="63"/>
      <c r="B26" s="64" t="str">
        <f t="shared" si="0"/>
        <v>---</v>
      </c>
      <c r="C26" s="42"/>
      <c r="D26" s="65"/>
    </row>
    <row r="27" spans="1:4" x14ac:dyDescent="0.2">
      <c r="A27" s="63"/>
      <c r="B27" s="64" t="str">
        <f t="shared" si="0"/>
        <v>---</v>
      </c>
      <c r="C27" s="42"/>
      <c r="D27" s="65"/>
    </row>
    <row r="28" spans="1:4" x14ac:dyDescent="0.2">
      <c r="A28" s="66"/>
      <c r="B28" s="67" t="str">
        <f t="shared" si="0"/>
        <v>---</v>
      </c>
      <c r="C28" s="68"/>
      <c r="D28" s="69"/>
    </row>
    <row r="30" spans="1:4" x14ac:dyDescent="0.2">
      <c r="A30" s="35" t="s">
        <v>439</v>
      </c>
    </row>
    <row r="31" spans="1:4" x14ac:dyDescent="0.2">
      <c r="A31" s="70" t="s">
        <v>440</v>
      </c>
      <c r="B31" s="70" t="s">
        <v>447</v>
      </c>
    </row>
    <row r="32" spans="1:4" x14ac:dyDescent="0.2">
      <c r="A32" s="70" t="s">
        <v>448</v>
      </c>
      <c r="B32" s="70" t="s">
        <v>449</v>
      </c>
    </row>
    <row r="33" spans="1:2" x14ac:dyDescent="0.2">
      <c r="A33" s="70" t="s">
        <v>450</v>
      </c>
      <c r="B33" s="70" t="s">
        <v>451</v>
      </c>
    </row>
    <row r="34" spans="1:2" x14ac:dyDescent="0.2">
      <c r="A34" s="70" t="s">
        <v>452</v>
      </c>
      <c r="B34" s="70" t="s">
        <v>453</v>
      </c>
    </row>
    <row r="35" spans="1:2" x14ac:dyDescent="0.2">
      <c r="A35" s="70" t="s">
        <v>454</v>
      </c>
      <c r="B35" s="70" t="s">
        <v>455</v>
      </c>
    </row>
    <row r="36" spans="1:2" x14ac:dyDescent="0.2">
      <c r="A36" s="70" t="s">
        <v>456</v>
      </c>
      <c r="B36" s="70" t="s">
        <v>457</v>
      </c>
    </row>
    <row r="37" spans="1:2" x14ac:dyDescent="0.2">
      <c r="A37" s="70" t="s">
        <v>458</v>
      </c>
      <c r="B37" s="70" t="s">
        <v>459</v>
      </c>
    </row>
    <row r="38" spans="1:2" x14ac:dyDescent="0.2">
      <c r="A38" s="70" t="s">
        <v>460</v>
      </c>
      <c r="B38" s="70" t="s">
        <v>461</v>
      </c>
    </row>
    <row r="39" spans="1:2" x14ac:dyDescent="0.2">
      <c r="A39" s="70" t="s">
        <v>462</v>
      </c>
      <c r="B39" s="70" t="s">
        <v>463</v>
      </c>
    </row>
    <row r="40" spans="1:2" x14ac:dyDescent="0.2">
      <c r="A40" s="70" t="s">
        <v>464</v>
      </c>
      <c r="B40" s="70" t="s">
        <v>465</v>
      </c>
    </row>
    <row r="41" spans="1:2" x14ac:dyDescent="0.2">
      <c r="A41" s="70" t="s">
        <v>466</v>
      </c>
      <c r="B41" s="70" t="s">
        <v>467</v>
      </c>
    </row>
    <row r="42" spans="1:2" x14ac:dyDescent="0.2">
      <c r="A42" s="70" t="s">
        <v>468</v>
      </c>
      <c r="B42" s="70" t="s">
        <v>469</v>
      </c>
    </row>
    <row r="43" spans="1:2" x14ac:dyDescent="0.2">
      <c r="A43" s="70" t="s">
        <v>470</v>
      </c>
      <c r="B43" s="70" t="s">
        <v>471</v>
      </c>
    </row>
    <row r="44" spans="1:2" x14ac:dyDescent="0.2">
      <c r="A44" s="70" t="s">
        <v>472</v>
      </c>
      <c r="B44" s="70" t="s">
        <v>473</v>
      </c>
    </row>
    <row r="45" spans="1:2" x14ac:dyDescent="0.2">
      <c r="A45" s="70" t="s">
        <v>474</v>
      </c>
      <c r="B45" s="70" t="s">
        <v>475</v>
      </c>
    </row>
    <row r="46" spans="1:2" x14ac:dyDescent="0.2">
      <c r="A46" s="70" t="s">
        <v>476</v>
      </c>
      <c r="B46" s="70" t="s">
        <v>477</v>
      </c>
    </row>
    <row r="47" spans="1:2" x14ac:dyDescent="0.2">
      <c r="A47" s="70" t="s">
        <v>478</v>
      </c>
      <c r="B47" s="70" t="s">
        <v>479</v>
      </c>
    </row>
    <row r="48" spans="1:2" x14ac:dyDescent="0.2">
      <c r="A48" s="70" t="s">
        <v>480</v>
      </c>
      <c r="B48" s="70" t="s">
        <v>481</v>
      </c>
    </row>
    <row r="49" spans="1:2" x14ac:dyDescent="0.2">
      <c r="A49" s="70" t="s">
        <v>482</v>
      </c>
      <c r="B49" s="70" t="s">
        <v>483</v>
      </c>
    </row>
    <row r="50" spans="1:2" x14ac:dyDescent="0.2">
      <c r="A50" s="70" t="s">
        <v>484</v>
      </c>
      <c r="B50" s="70" t="s">
        <v>485</v>
      </c>
    </row>
    <row r="51" spans="1:2" x14ac:dyDescent="0.2">
      <c r="A51" s="70" t="s">
        <v>486</v>
      </c>
      <c r="B51" s="70" t="s">
        <v>487</v>
      </c>
    </row>
    <row r="52" spans="1:2" x14ac:dyDescent="0.2">
      <c r="A52" s="70" t="s">
        <v>488</v>
      </c>
      <c r="B52" s="70" t="s">
        <v>489</v>
      </c>
    </row>
    <row r="53" spans="1:2" x14ac:dyDescent="0.2">
      <c r="A53" s="70" t="s">
        <v>490</v>
      </c>
      <c r="B53" s="70" t="s">
        <v>491</v>
      </c>
    </row>
    <row r="54" spans="1:2" x14ac:dyDescent="0.2">
      <c r="A54" s="70" t="s">
        <v>492</v>
      </c>
      <c r="B54" s="70" t="s">
        <v>493</v>
      </c>
    </row>
    <row r="55" spans="1:2" x14ac:dyDescent="0.2">
      <c r="A55" s="70" t="s">
        <v>494</v>
      </c>
      <c r="B55" s="70" t="s">
        <v>495</v>
      </c>
    </row>
    <row r="56" spans="1:2" x14ac:dyDescent="0.2">
      <c r="A56" s="70" t="s">
        <v>496</v>
      </c>
      <c r="B56" s="70" t="s">
        <v>497</v>
      </c>
    </row>
    <row r="57" spans="1:2" x14ac:dyDescent="0.2">
      <c r="A57" s="70" t="s">
        <v>498</v>
      </c>
      <c r="B57" s="70" t="s">
        <v>499</v>
      </c>
    </row>
    <row r="58" spans="1:2" x14ac:dyDescent="0.2">
      <c r="A58" s="70" t="s">
        <v>500</v>
      </c>
      <c r="B58" s="70" t="s">
        <v>501</v>
      </c>
    </row>
    <row r="59" spans="1:2" x14ac:dyDescent="0.2">
      <c r="A59" s="70" t="s">
        <v>502</v>
      </c>
      <c r="B59" s="70" t="s">
        <v>503</v>
      </c>
    </row>
    <row r="60" spans="1:2" x14ac:dyDescent="0.2">
      <c r="A60" s="70" t="s">
        <v>504</v>
      </c>
      <c r="B60" s="70" t="s">
        <v>505</v>
      </c>
    </row>
    <row r="61" spans="1:2" x14ac:dyDescent="0.2">
      <c r="A61" s="70" t="s">
        <v>506</v>
      </c>
      <c r="B61" s="70" t="s">
        <v>507</v>
      </c>
    </row>
    <row r="62" spans="1:2" x14ac:dyDescent="0.2">
      <c r="A62" s="70" t="s">
        <v>508</v>
      </c>
      <c r="B62" s="70" t="s">
        <v>509</v>
      </c>
    </row>
    <row r="63" spans="1:2" x14ac:dyDescent="0.2">
      <c r="A63" s="70" t="s">
        <v>510</v>
      </c>
      <c r="B63" s="70" t="s">
        <v>511</v>
      </c>
    </row>
    <row r="65" spans="1:2" x14ac:dyDescent="0.2">
      <c r="A65" s="43" t="s">
        <v>512</v>
      </c>
    </row>
    <row r="66" spans="1:2" x14ac:dyDescent="0.2">
      <c r="A66" s="44" t="s">
        <v>513</v>
      </c>
      <c r="B66" s="44" t="s">
        <v>514</v>
      </c>
    </row>
    <row r="67" spans="1:2" x14ac:dyDescent="0.2">
      <c r="A67" s="44" t="s">
        <v>515</v>
      </c>
      <c r="B67" s="44" t="s">
        <v>516</v>
      </c>
    </row>
    <row r="68" spans="1:2" x14ac:dyDescent="0.2">
      <c r="A68" s="44" t="s">
        <v>517</v>
      </c>
      <c r="B68" s="44" t="s">
        <v>518</v>
      </c>
    </row>
    <row r="69" spans="1:2" x14ac:dyDescent="0.2">
      <c r="A69" s="44" t="s">
        <v>519</v>
      </c>
      <c r="B69" s="44" t="s">
        <v>520</v>
      </c>
    </row>
    <row r="70" spans="1:2" x14ac:dyDescent="0.2">
      <c r="A70" s="44" t="s">
        <v>521</v>
      </c>
      <c r="B70" s="44" t="s">
        <v>522</v>
      </c>
    </row>
    <row r="71" spans="1:2" x14ac:dyDescent="0.2">
      <c r="A71" s="44" t="s">
        <v>523</v>
      </c>
      <c r="B71" s="44" t="s">
        <v>524</v>
      </c>
    </row>
    <row r="72" spans="1:2" x14ac:dyDescent="0.2">
      <c r="A72" s="44" t="s">
        <v>525</v>
      </c>
      <c r="B72" s="44" t="s">
        <v>526</v>
      </c>
    </row>
    <row r="73" spans="1:2" x14ac:dyDescent="0.2">
      <c r="A73" s="44" t="s">
        <v>527</v>
      </c>
      <c r="B73" s="44" t="s">
        <v>528</v>
      </c>
    </row>
    <row r="74" spans="1:2" x14ac:dyDescent="0.2">
      <c r="A74" s="44" t="s">
        <v>442</v>
      </c>
      <c r="B74" s="44" t="s">
        <v>529</v>
      </c>
    </row>
    <row r="75" spans="1:2" x14ac:dyDescent="0.2">
      <c r="A75" s="44" t="s">
        <v>530</v>
      </c>
      <c r="B75" s="44" t="s">
        <v>531</v>
      </c>
    </row>
    <row r="76" spans="1:2" x14ac:dyDescent="0.2">
      <c r="A76" s="44" t="s">
        <v>532</v>
      </c>
      <c r="B76" s="44" t="s">
        <v>533</v>
      </c>
    </row>
    <row r="77" spans="1:2" x14ac:dyDescent="0.2">
      <c r="A77" s="44" t="s">
        <v>534</v>
      </c>
      <c r="B77" s="44" t="s">
        <v>535</v>
      </c>
    </row>
    <row r="78" spans="1:2" x14ac:dyDescent="0.2">
      <c r="A78" s="44" t="s">
        <v>536</v>
      </c>
      <c r="B78" s="44" t="s">
        <v>537</v>
      </c>
    </row>
    <row r="79" spans="1:2" x14ac:dyDescent="0.2">
      <c r="A79" s="44" t="s">
        <v>538</v>
      </c>
      <c r="B79" s="44" t="s">
        <v>539</v>
      </c>
    </row>
    <row r="80" spans="1:2" x14ac:dyDescent="0.2">
      <c r="A80" s="44" t="s">
        <v>540</v>
      </c>
      <c r="B80" s="44" t="s">
        <v>541</v>
      </c>
    </row>
    <row r="81" spans="1:2" x14ac:dyDescent="0.2">
      <c r="A81" s="44" t="s">
        <v>542</v>
      </c>
      <c r="B81" s="44" t="s">
        <v>543</v>
      </c>
    </row>
    <row r="82" spans="1:2" x14ac:dyDescent="0.2">
      <c r="A82" s="44" t="s">
        <v>544</v>
      </c>
      <c r="B82" s="44" t="s">
        <v>545</v>
      </c>
    </row>
    <row r="83" spans="1:2" x14ac:dyDescent="0.2">
      <c r="A83" s="44" t="s">
        <v>546</v>
      </c>
      <c r="B83" s="44" t="s">
        <v>547</v>
      </c>
    </row>
    <row r="84" spans="1:2" x14ac:dyDescent="0.2">
      <c r="A84" s="44" t="s">
        <v>548</v>
      </c>
      <c r="B84" s="44" t="s">
        <v>549</v>
      </c>
    </row>
    <row r="85" spans="1:2" x14ac:dyDescent="0.2">
      <c r="A85" s="44" t="s">
        <v>550</v>
      </c>
      <c r="B85" s="44" t="s">
        <v>551</v>
      </c>
    </row>
    <row r="86" spans="1:2" x14ac:dyDescent="0.2">
      <c r="A86" s="44" t="s">
        <v>552</v>
      </c>
      <c r="B86" s="44" t="s">
        <v>553</v>
      </c>
    </row>
    <row r="87" spans="1:2" x14ac:dyDescent="0.2">
      <c r="A87" s="44" t="s">
        <v>554</v>
      </c>
      <c r="B87" s="44" t="s">
        <v>555</v>
      </c>
    </row>
    <row r="88" spans="1:2" x14ac:dyDescent="0.2">
      <c r="A88" s="44" t="s">
        <v>556</v>
      </c>
      <c r="B88" s="44" t="s">
        <v>557</v>
      </c>
    </row>
    <row r="89" spans="1:2" x14ac:dyDescent="0.2">
      <c r="A89" s="44" t="s">
        <v>558</v>
      </c>
      <c r="B89" s="44" t="s">
        <v>559</v>
      </c>
    </row>
    <row r="90" spans="1:2" x14ac:dyDescent="0.2">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1" width="11.42578125" style="91" hidden="1" customWidth="1"/>
    <col min="22" max="16384" width="11.42578125" style="93"/>
  </cols>
  <sheetData>
    <row r="1" spans="1:22" s="91" customFormat="1" ht="14.1" hidden="1" customHeight="1" thickBot="1" x14ac:dyDescent="0.3">
      <c r="A1" s="91" t="s">
        <v>3</v>
      </c>
      <c r="P1" s="91" t="s">
        <v>3</v>
      </c>
      <c r="Q1" s="91" t="s">
        <v>3</v>
      </c>
      <c r="R1" s="91" t="s">
        <v>3</v>
      </c>
      <c r="S1" s="91" t="s">
        <v>3</v>
      </c>
      <c r="T1" s="91" t="s">
        <v>3</v>
      </c>
      <c r="U1" s="91" t="s">
        <v>3</v>
      </c>
    </row>
    <row r="2" spans="1:22" ht="14.1" customHeight="1" thickBot="1" x14ac:dyDescent="0.3">
      <c r="B2" s="1166" t="str">
        <f>Translations!$B$10</f>
        <v>Table of contents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25">
      <c r="B3" s="1169"/>
      <c r="C3" s="1170"/>
      <c r="D3" s="1171"/>
      <c r="E3" s="1165"/>
      <c r="F3" s="1165"/>
      <c r="G3" s="1165"/>
      <c r="H3" s="1165"/>
      <c r="I3" s="1165"/>
      <c r="J3" s="1165"/>
      <c r="K3" s="1165"/>
      <c r="L3" s="1165"/>
      <c r="M3" s="1165"/>
      <c r="N3" s="1165"/>
      <c r="O3" s="428"/>
      <c r="Q3" s="144"/>
      <c r="R3" s="171"/>
      <c r="S3" s="171"/>
      <c r="T3" s="171"/>
      <c r="U3" s="1119"/>
      <c r="V3" s="144"/>
    </row>
    <row r="4" spans="1:22" ht="14.1" customHeight="1" thickBot="1" x14ac:dyDescent="0.3">
      <c r="B4" s="1172"/>
      <c r="C4" s="1173"/>
      <c r="D4" s="1174"/>
      <c r="E4" s="1165"/>
      <c r="F4" s="1165"/>
      <c r="G4" s="1165"/>
      <c r="H4" s="1165"/>
      <c r="I4" s="1165"/>
      <c r="J4" s="1165"/>
      <c r="K4" s="1165"/>
      <c r="L4" s="1165"/>
      <c r="M4" s="1165"/>
      <c r="N4" s="1165"/>
      <c r="O4" s="428"/>
      <c r="Q4" s="144"/>
      <c r="R4" s="171"/>
      <c r="S4" s="171"/>
      <c r="T4" s="171"/>
      <c r="U4" s="1119"/>
      <c r="V4" s="144"/>
    </row>
    <row r="5" spans="1:22" ht="5.0999999999999996" customHeight="1" x14ac:dyDescent="0.25">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25">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25">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25">
      <c r="A8" s="99"/>
      <c r="B8" s="101"/>
      <c r="C8" s="983" t="s">
        <v>3900</v>
      </c>
      <c r="D8" s="1195" t="str">
        <f ca="1">HYPERLINK("#"&amp;S8,INDIRECT(S8))</f>
        <v>Sheet "Version history"</v>
      </c>
      <c r="E8" s="1193"/>
      <c r="F8" s="1193"/>
      <c r="G8" s="1193"/>
      <c r="H8" s="1193"/>
      <c r="I8" s="1193"/>
      <c r="J8" s="1193"/>
      <c r="K8" s="1193"/>
      <c r="L8" s="167"/>
      <c r="M8" s="167"/>
      <c r="N8" s="167"/>
      <c r="O8" s="1124"/>
      <c r="P8" s="101"/>
      <c r="Q8" s="167"/>
      <c r="R8" s="171"/>
      <c r="S8" s="367" t="str">
        <f ca="1">ADDRESS(6,3,,,T8)</f>
        <v>'0_Versions'!$C$6</v>
      </c>
      <c r="T8" s="928" t="str">
        <f ca="1">'0_Versions'!$U$2</f>
        <v>0_Versions</v>
      </c>
      <c r="U8" s="1121"/>
      <c r="V8" s="167"/>
    </row>
    <row r="9" spans="1:22" ht="5.0999999999999996" customHeight="1" x14ac:dyDescent="0.25">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25">
      <c r="A10" s="99"/>
      <c r="B10" s="101"/>
      <c r="C10" s="983" t="s">
        <v>2820</v>
      </c>
      <c r="D10" s="1195" t="str">
        <f ca="1">HYPERLINK("#"&amp;S10,INDIRECT(S10))</f>
        <v>Sheet "Table of contents"</v>
      </c>
      <c r="E10" s="1193"/>
      <c r="F10" s="1193"/>
      <c r="G10" s="1193"/>
      <c r="H10" s="1193"/>
      <c r="I10" s="1193"/>
      <c r="J10" s="1193"/>
      <c r="K10" s="1193"/>
      <c r="L10" s="167"/>
      <c r="M10" s="167"/>
      <c r="N10" s="167"/>
      <c r="O10" s="1124"/>
      <c r="P10" s="101"/>
      <c r="Q10" s="167"/>
      <c r="R10" s="171"/>
      <c r="S10" s="367" t="str">
        <f ca="1">ADDRESS(6,3,,,T10)</f>
        <v>a_Contents!$C$6</v>
      </c>
      <c r="T10" s="928" t="str">
        <f ca="1">$U$2</f>
        <v>a_Contents</v>
      </c>
      <c r="U10" s="1121"/>
      <c r="V10" s="167"/>
    </row>
    <row r="11" spans="1:22" ht="5.0999999999999996" customHeight="1" x14ac:dyDescent="0.25">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25">
      <c r="A12" s="99"/>
      <c r="B12" s="101"/>
      <c r="C12" s="983" t="s">
        <v>2818</v>
      </c>
      <c r="D12" s="1195" t="str">
        <f ca="1">HYPERLINK("#"&amp;S12,INDIRECT(S12))</f>
        <v>Sheet "Guidelines &amp; conditions"</v>
      </c>
      <c r="E12" s="1193"/>
      <c r="F12" s="1193"/>
      <c r="G12" s="1193"/>
      <c r="H12" s="1193"/>
      <c r="I12" s="1193"/>
      <c r="J12" s="1193"/>
      <c r="K12" s="1193"/>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25">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25">
      <c r="A14" s="99"/>
      <c r="B14" s="101"/>
      <c r="C14" s="983" t="s">
        <v>3884</v>
      </c>
      <c r="D14" s="1195" t="str">
        <f ca="1">HYPERLINK("#"&amp;S14,INDIRECT(S14))</f>
        <v>Sheet "Code Lists"</v>
      </c>
      <c r="E14" s="1193"/>
      <c r="F14" s="1193"/>
      <c r="G14" s="1193"/>
      <c r="H14" s="1193"/>
      <c r="I14" s="1193"/>
      <c r="J14" s="1193"/>
      <c r="K14" s="1193"/>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25">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25">
      <c r="A16" s="99"/>
      <c r="B16" s="101"/>
      <c r="C16" s="983" t="s">
        <v>432</v>
      </c>
      <c r="D16" s="1195" t="str">
        <f ca="1">HYPERLINK("#"&amp;S16,INDIRECT(S16))</f>
        <v xml:space="preserve">Sheet "A_InstData" - General information, production processes and purchased precursors </v>
      </c>
      <c r="E16" s="1193"/>
      <c r="F16" s="1193"/>
      <c r="G16" s="1193"/>
      <c r="H16" s="1193"/>
      <c r="I16" s="1193"/>
      <c r="J16" s="1193"/>
      <c r="K16" s="1193"/>
      <c r="L16" s="167"/>
      <c r="M16" s="167"/>
      <c r="N16" s="167"/>
      <c r="O16" s="1124"/>
      <c r="P16" s="101"/>
      <c r="Q16" s="167"/>
      <c r="R16" s="171"/>
      <c r="S16" s="367" t="str">
        <f ca="1">ADDRESS(6,5,,,T16)</f>
        <v>A_InstData!$E$6</v>
      </c>
      <c r="T16" s="928" t="str">
        <f ca="1">A_InstData!$U$2</f>
        <v>A_InstData</v>
      </c>
      <c r="U16" s="1121"/>
      <c r="V16" s="167"/>
    </row>
    <row r="17" spans="1:22" ht="12.75" customHeight="1" x14ac:dyDescent="0.25">
      <c r="B17" s="94"/>
      <c r="C17" s="983"/>
      <c r="D17" s="1115">
        <v>1</v>
      </c>
      <c r="E17" s="1194" t="str">
        <f ca="1">HYPERLINK("#"&amp;S17,INDIRECT(S17))</f>
        <v>Reporting period</v>
      </c>
      <c r="F17" s="1193"/>
      <c r="G17" s="1193"/>
      <c r="H17" s="1193"/>
      <c r="I17" s="1193"/>
      <c r="J17" s="1193"/>
      <c r="K17" s="1193"/>
      <c r="L17" s="144"/>
      <c r="M17" s="144"/>
      <c r="N17" s="144"/>
      <c r="O17" s="428"/>
      <c r="Q17" s="144"/>
      <c r="R17" s="171"/>
      <c r="S17" s="368" t="str">
        <f ca="1">ADDRESS(MATCH(D17,INDIRECT("'"&amp; T17 &amp; "'!A:A")),4,,,T17)</f>
        <v>A_InstData!$D$9</v>
      </c>
      <c r="T17" s="171" t="str">
        <f ca="1">T16</f>
        <v>A_InstData</v>
      </c>
      <c r="U17" s="1119"/>
      <c r="V17" s="144"/>
    </row>
    <row r="18" spans="1:22" ht="12.75" customHeight="1" x14ac:dyDescent="0.25">
      <c r="B18" s="94"/>
      <c r="C18" s="983"/>
      <c r="D18" s="1115">
        <v>2</v>
      </c>
      <c r="E18" s="1194" t="str">
        <f ca="1">HYPERLINK("#"&amp;S18,INDIRECT(S18))</f>
        <v>About the installation</v>
      </c>
      <c r="F18" s="1193"/>
      <c r="G18" s="1193"/>
      <c r="H18" s="1193"/>
      <c r="I18" s="1193"/>
      <c r="J18" s="1193"/>
      <c r="K18" s="1193"/>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25">
      <c r="B19" s="94"/>
      <c r="C19" s="983"/>
      <c r="D19" s="1115">
        <v>3</v>
      </c>
      <c r="E19" s="1194" t="str">
        <f ca="1">HYPERLINK("#"&amp;S19,INDIRECT(S19))</f>
        <v>Verifier of the report – only if available and not required during transitional period</v>
      </c>
      <c r="F19" s="1193"/>
      <c r="G19" s="1193"/>
      <c r="H19" s="1193"/>
      <c r="I19" s="1193"/>
      <c r="J19" s="1193"/>
      <c r="K19" s="1193"/>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25">
      <c r="B20" s="94"/>
      <c r="C20" s="983"/>
      <c r="D20" s="1115">
        <v>4</v>
      </c>
      <c r="E20" s="1194" t="str">
        <f ca="1">HYPERLINK("#"&amp;S20,INDIRECT(S20))</f>
        <v>Aggregated goods categories and relevant production processes</v>
      </c>
      <c r="F20" s="1193"/>
      <c r="G20" s="1193"/>
      <c r="H20" s="1193"/>
      <c r="I20" s="1193"/>
      <c r="J20" s="1193"/>
      <c r="K20" s="1193"/>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25">
      <c r="B21" s="94"/>
      <c r="C21" s="983"/>
      <c r="D21" s="1115">
        <v>5</v>
      </c>
      <c r="E21" s="1194" t="str">
        <f ca="1">HYPERLINK("#"&amp;S21,INDIRECT(S21))</f>
        <v>Purchased precursors</v>
      </c>
      <c r="F21" s="1193"/>
      <c r="G21" s="1193"/>
      <c r="H21" s="1193"/>
      <c r="I21" s="1193"/>
      <c r="J21" s="1193"/>
      <c r="K21" s="1193"/>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25">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25">
      <c r="A23" s="99"/>
      <c r="B23" s="101"/>
      <c r="C23" s="983" t="s">
        <v>2815</v>
      </c>
      <c r="D23" s="1195" t="str">
        <f ca="1">HYPERLINK("#"&amp;S23,INDIRECT(S23))</f>
        <v>Sheet "B_EmInst" - Installation's emission at source stream and emission source level</v>
      </c>
      <c r="E23" s="1193"/>
      <c r="F23" s="1193"/>
      <c r="G23" s="1193"/>
      <c r="H23" s="1193"/>
      <c r="I23" s="1193"/>
      <c r="J23" s="1193"/>
      <c r="K23" s="1193"/>
      <c r="L23" s="167"/>
      <c r="M23" s="167"/>
      <c r="N23" s="167"/>
      <c r="O23" s="1124"/>
      <c r="P23" s="101"/>
      <c r="Q23" s="167"/>
      <c r="R23" s="928"/>
      <c r="S23" s="367" t="str">
        <f ca="1">ADDRESS(6,4,,,T23)</f>
        <v>B_EmInst!$D$6</v>
      </c>
      <c r="T23" s="928" t="str">
        <f ca="1">B_EmInst!$BD$2</f>
        <v>B_EmInst</v>
      </c>
      <c r="U23" s="1121"/>
      <c r="V23" s="167"/>
    </row>
    <row r="24" spans="1:22" ht="12.75" customHeight="1" x14ac:dyDescent="0.25">
      <c r="B24" s="94"/>
      <c r="C24" s="983"/>
      <c r="D24" s="1115">
        <v>1</v>
      </c>
      <c r="E24" s="1192" t="str">
        <f ca="1">HYPERLINK("#"&amp;S24,INDIRECT(S24))</f>
        <v>Calculation based approaches: Source Streams (excluding PFC emissions)</v>
      </c>
      <c r="F24" s="1193"/>
      <c r="G24" s="1193"/>
      <c r="H24" s="1193"/>
      <c r="I24" s="1193"/>
      <c r="J24" s="1193"/>
      <c r="K24" s="1193"/>
      <c r="L24" s="144"/>
      <c r="M24" s="144"/>
      <c r="N24" s="144"/>
      <c r="O24" s="428"/>
      <c r="Q24" s="144"/>
      <c r="R24" s="171"/>
      <c r="S24" s="368" t="str">
        <f ca="1">ADDRESS(MATCH(D24,INDIRECT("'"&amp; T24 &amp; "'!A:A")),4,,,T24)</f>
        <v>B_EmInst!$D$12</v>
      </c>
      <c r="T24" s="171" t="str">
        <f ca="1">T23</f>
        <v>B_EmInst</v>
      </c>
      <c r="U24" s="1119"/>
      <c r="V24" s="144"/>
    </row>
    <row r="25" spans="1:22" ht="12.75" customHeight="1" x14ac:dyDescent="0.25">
      <c r="B25" s="94"/>
      <c r="C25" s="983"/>
      <c r="D25" s="1115">
        <v>2</v>
      </c>
      <c r="E25" s="1192" t="str">
        <f ca="1">HYPERLINK("#"&amp;S25,INDIRECT(S25))</f>
        <v>PFC (perfluorocarbon) emissions</v>
      </c>
      <c r="F25" s="1193"/>
      <c r="G25" s="1193"/>
      <c r="H25" s="1193"/>
      <c r="I25" s="1193"/>
      <c r="J25" s="1193"/>
      <c r="K25" s="1193"/>
      <c r="L25" s="144"/>
      <c r="M25" s="144"/>
      <c r="N25" s="144"/>
      <c r="O25" s="428"/>
      <c r="Q25" s="144"/>
      <c r="R25" s="171"/>
      <c r="S25" s="368" t="str">
        <f ca="1">ADDRESS(MATCH(D25,INDIRECT("'"&amp; T25 &amp; "'!A:A")),4,,,T25)</f>
        <v>B_EmInst!$D$95</v>
      </c>
      <c r="T25" s="171" t="str">
        <f ca="1">T24</f>
        <v>B_EmInst</v>
      </c>
      <c r="U25" s="1119"/>
      <c r="V25" s="144"/>
    </row>
    <row r="26" spans="1:22" ht="12.75" customHeight="1" x14ac:dyDescent="0.25">
      <c r="B26" s="94"/>
      <c r="C26" s="983"/>
      <c r="D26" s="1115">
        <v>3</v>
      </c>
      <c r="E26" s="1192" t="str">
        <f ca="1">HYPERLINK("#"&amp;S26,INDIRECT(S26))</f>
        <v>Measurement-Based Approaches: Emissions Sources</v>
      </c>
      <c r="F26" s="1193"/>
      <c r="G26" s="1193"/>
      <c r="H26" s="1193"/>
      <c r="I26" s="1193"/>
      <c r="J26" s="1193"/>
      <c r="K26" s="1193"/>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25">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25">
      <c r="A28" s="99"/>
      <c r="B28" s="101"/>
      <c r="C28" s="983" t="s">
        <v>434</v>
      </c>
      <c r="D28" s="1195" t="str">
        <f ca="1">HYPERLINK("#"&amp;S28,INDIRECT(S28))</f>
        <v>Sheet "C_Emissions&amp;Energy" - Installation-level GHG emissions and energy consumption</v>
      </c>
      <c r="E28" s="1195"/>
      <c r="F28" s="1195"/>
      <c r="G28" s="1195"/>
      <c r="H28" s="1195"/>
      <c r="I28" s="1195"/>
      <c r="J28" s="1195"/>
      <c r="K28" s="1195"/>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25">
      <c r="B29" s="94"/>
      <c r="C29" s="983"/>
      <c r="D29" s="1115">
        <v>1</v>
      </c>
      <c r="E29" s="1192" t="str">
        <f ca="1">HYPERLINK("#"&amp;S29,INDIRECT(S29))</f>
        <v>Fuel balance</v>
      </c>
      <c r="F29" s="1193"/>
      <c r="G29" s="1193"/>
      <c r="H29" s="1193"/>
      <c r="I29" s="1193"/>
      <c r="J29" s="1193"/>
      <c r="K29" s="1193"/>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25">
      <c r="B30" s="94"/>
      <c r="C30" s="983"/>
      <c r="D30" s="1115">
        <v>2</v>
      </c>
      <c r="E30" s="1192" t="str">
        <f ca="1">HYPERLINK("#"&amp;S30,INDIRECT(S30))</f>
        <v>Greenhouse gas emissions balance &amp; information on data quality</v>
      </c>
      <c r="F30" s="1193"/>
      <c r="G30" s="1193"/>
      <c r="H30" s="1193"/>
      <c r="I30" s="1193"/>
      <c r="J30" s="1193"/>
      <c r="K30" s="1193"/>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25">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25">
      <c r="A32" s="99"/>
      <c r="B32" s="101"/>
      <c r="C32" s="983" t="s">
        <v>407</v>
      </c>
      <c r="D32" s="1195" t="str">
        <f ca="1">HYPERLINK("#"&amp;S32,INDIRECT(S32))</f>
        <v>Sheet "D_Processes" - Production level and attributed emissions for SEE calculation</v>
      </c>
      <c r="E32" s="1193"/>
      <c r="F32" s="1193"/>
      <c r="G32" s="1193"/>
      <c r="H32" s="1193"/>
      <c r="I32" s="1193"/>
      <c r="J32" s="1193"/>
      <c r="K32" s="1193"/>
      <c r="L32" s="167"/>
      <c r="M32" s="167"/>
      <c r="N32" s="167"/>
      <c r="O32" s="1124"/>
      <c r="P32" s="101"/>
      <c r="Q32" s="167"/>
      <c r="R32" s="928"/>
      <c r="S32" s="367" t="str">
        <f ca="1">ADDRESS(7,5,,,T32)</f>
        <v>D_Processes!$E$7</v>
      </c>
      <c r="T32" s="928" t="str">
        <f ca="1">D_Processes!$U$2</f>
        <v>D_Processes</v>
      </c>
      <c r="U32" s="1121"/>
      <c r="V32" s="167"/>
    </row>
    <row r="33" spans="2:22" ht="12.75" customHeight="1" x14ac:dyDescent="0.25">
      <c r="B33" s="94"/>
      <c r="C33" s="983"/>
      <c r="D33" s="1115">
        <v>1</v>
      </c>
      <c r="E33" s="1192" t="str">
        <f ca="1">HYPERLINK("#"&amp;S33,INDIRECT(S33))</f>
        <v>Data input for the determination of the specific embedded emissions</v>
      </c>
      <c r="F33" s="1193"/>
      <c r="G33" s="1193"/>
      <c r="H33" s="1193"/>
      <c r="I33" s="1193"/>
      <c r="J33" s="1193"/>
      <c r="K33" s="1193"/>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25">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25">
      <c r="B35" s="94"/>
      <c r="C35" s="983" t="s">
        <v>409</v>
      </c>
      <c r="D35" s="1195" t="str">
        <f ca="1">HYPERLINK("#"&amp;S35,INDIRECT(S35))</f>
        <v>Sheet "E_PurchPrec" - Purchased precursors for SEE calculation</v>
      </c>
      <c r="E35" s="1193"/>
      <c r="F35" s="1193"/>
      <c r="G35" s="1193"/>
      <c r="H35" s="1193"/>
      <c r="I35" s="1193"/>
      <c r="J35" s="1193"/>
      <c r="K35" s="1193"/>
      <c r="L35" s="144"/>
      <c r="M35" s="144"/>
      <c r="N35" s="144"/>
      <c r="O35" s="428"/>
      <c r="Q35" s="144"/>
      <c r="R35" s="171"/>
      <c r="S35" s="367" t="str">
        <f ca="1">ADDRESS(8,5,,,T35)</f>
        <v>E_PurchPrec!$E$8</v>
      </c>
      <c r="T35" s="928" t="str">
        <f ca="1">E_PurchPrec!$U$2</f>
        <v>E_PurchPrec</v>
      </c>
      <c r="U35" s="1119"/>
      <c r="V35" s="144"/>
    </row>
    <row r="36" spans="2:22" ht="12.75" customHeight="1" x14ac:dyDescent="0.25">
      <c r="B36" s="94"/>
      <c r="C36" s="983"/>
      <c r="D36" s="1115">
        <v>1</v>
      </c>
      <c r="E36" s="1192" t="str">
        <f ca="1">HYPERLINK("#"&amp;S36,INDIRECT(S36))</f>
        <v>Data input for the determination of the specific embedded emissions</v>
      </c>
      <c r="F36" s="1193"/>
      <c r="G36" s="1193"/>
      <c r="H36" s="1193"/>
      <c r="I36" s="1193"/>
      <c r="J36" s="1193"/>
      <c r="K36" s="1193"/>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25">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25">
      <c r="B38" s="94"/>
      <c r="C38" s="983" t="s">
        <v>2822</v>
      </c>
      <c r="D38" s="1195" t="str">
        <f ca="1">HYPERLINK("#"&amp;S38,INDIRECT(S38))</f>
        <v>Sheet "F_Tools" - Tools for facilitating reporting</v>
      </c>
      <c r="E38" s="1193"/>
      <c r="F38" s="1193"/>
      <c r="G38" s="1193"/>
      <c r="H38" s="1193"/>
      <c r="I38" s="1193"/>
      <c r="J38" s="1193"/>
      <c r="K38" s="1193"/>
      <c r="L38" s="144"/>
      <c r="M38" s="144"/>
      <c r="N38" s="144"/>
      <c r="O38" s="428"/>
      <c r="Q38" s="144"/>
      <c r="R38" s="171"/>
      <c r="S38" s="367" t="str">
        <f ca="1">ADDRESS(6,5,,,T38)</f>
        <v>F_Tools!$E$6</v>
      </c>
      <c r="T38" s="928" t="str">
        <f ca="1">F_Tools!$U$2</f>
        <v>F_Tools</v>
      </c>
      <c r="U38" s="1119"/>
      <c r="V38" s="144"/>
    </row>
    <row r="39" spans="2:22" ht="12.75" customHeight="1" x14ac:dyDescent="0.25">
      <c r="B39" s="94"/>
      <c r="C39" s="983"/>
      <c r="D39" s="1115">
        <v>1</v>
      </c>
      <c r="E39" s="1192" t="str">
        <f ca="1">HYPERLINK("#"&amp;S39,INDIRECT(S39))</f>
        <v>Cogeneration Tool</v>
      </c>
      <c r="F39" s="1193"/>
      <c r="G39" s="1193"/>
      <c r="H39" s="1193"/>
      <c r="I39" s="1193"/>
      <c r="J39" s="1193"/>
      <c r="K39" s="1193"/>
      <c r="L39" s="144"/>
      <c r="M39" s="144"/>
      <c r="N39" s="144"/>
      <c r="O39" s="428"/>
      <c r="Q39" s="144"/>
      <c r="R39" s="171"/>
      <c r="S39" s="368" t="str">
        <f ca="1">ADDRESS(MATCH(D39,INDIRECT("'"&amp; T39 &amp; "'!A:A")),4,,,T39)</f>
        <v>F_Tools!$D$8</v>
      </c>
      <c r="T39" s="171" t="str">
        <f ca="1">T38</f>
        <v>F_Tools</v>
      </c>
      <c r="U39" s="1119"/>
      <c r="V39" s="144"/>
    </row>
    <row r="40" spans="2:22" ht="12.75" customHeight="1" x14ac:dyDescent="0.25">
      <c r="B40" s="94"/>
      <c r="C40" s="144"/>
      <c r="D40" s="1115">
        <v>2</v>
      </c>
      <c r="E40" s="1192" t="str">
        <f ca="1">HYPERLINK("#"&amp;S40,INDIRECT(S40))</f>
        <v>Tool to calculate the carbon price due</v>
      </c>
      <c r="F40" s="1193"/>
      <c r="G40" s="1193"/>
      <c r="H40" s="1193"/>
      <c r="I40" s="1193"/>
      <c r="J40" s="1193"/>
      <c r="K40" s="1193"/>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25">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25">
      <c r="B42" s="94"/>
      <c r="C42" s="983" t="s">
        <v>2821</v>
      </c>
      <c r="D42" s="1195" t="str">
        <f ca="1">HYPERLINK("#"&amp;S42,INDIRECT(S42))</f>
        <v>Sheet "G_FurtherGuidance" - Further guidance on specific sections in this template</v>
      </c>
      <c r="E42" s="1193"/>
      <c r="F42" s="1193"/>
      <c r="G42" s="1193"/>
      <c r="H42" s="1193"/>
      <c r="I42" s="1193"/>
      <c r="J42" s="1193"/>
      <c r="K42" s="1193"/>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25">
      <c r="B43" s="94"/>
      <c r="C43" s="983"/>
      <c r="D43" s="1115">
        <v>1</v>
      </c>
      <c r="E43" s="1192" t="str">
        <f ca="1">HYPERLINK("#"&amp;S43,INDIRECT(S43))</f>
        <v>General guidance</v>
      </c>
      <c r="F43" s="1193"/>
      <c r="G43" s="1193"/>
      <c r="H43" s="1193"/>
      <c r="I43" s="1193"/>
      <c r="J43" s="1193"/>
      <c r="K43" s="1193"/>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25">
      <c r="B44" s="94"/>
      <c r="C44" s="144"/>
      <c r="D44" s="1115">
        <v>2</v>
      </c>
      <c r="E44" s="1192" t="str">
        <f ca="1">HYPERLINK("#"&amp;S44,INDIRECT(S44))</f>
        <v>Source streams and emission sources</v>
      </c>
      <c r="F44" s="1193"/>
      <c r="G44" s="1193"/>
      <c r="H44" s="1193"/>
      <c r="I44" s="1193"/>
      <c r="J44" s="1193"/>
      <c r="K44" s="1193"/>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25">
      <c r="B45" s="94"/>
      <c r="C45" s="144"/>
      <c r="D45" s="1115">
        <v>3</v>
      </c>
      <c r="E45" s="1192" t="str">
        <f ca="1">HYPERLINK("#"&amp;S45,INDIRECT(S45))</f>
        <v>Attribution of emissions to production processes</v>
      </c>
      <c r="F45" s="1193"/>
      <c r="G45" s="1193"/>
      <c r="H45" s="1193"/>
      <c r="I45" s="1193"/>
      <c r="J45" s="1193"/>
      <c r="K45" s="1193"/>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25">
      <c r="B46" s="94"/>
      <c r="C46" s="144"/>
      <c r="D46" s="1115">
        <v>4</v>
      </c>
      <c r="E46" s="1192" t="str">
        <f ca="1">HYPERLINK("#"&amp;S46,INDIRECT(S46))</f>
        <v>Data input for the determination of the specific embedded emissions</v>
      </c>
      <c r="F46" s="1193"/>
      <c r="G46" s="1193"/>
      <c r="H46" s="1193"/>
      <c r="I46" s="1193"/>
      <c r="J46" s="1193"/>
      <c r="K46" s="1193"/>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25">
      <c r="B47" s="94"/>
      <c r="C47" s="144"/>
      <c r="D47" s="1115">
        <v>5</v>
      </c>
      <c r="E47" s="1192" t="str">
        <f ca="1">HYPERLINK("#"&amp;S47,INDIRECT(S47))</f>
        <v>Summary of products</v>
      </c>
      <c r="F47" s="1193"/>
      <c r="G47" s="1193"/>
      <c r="H47" s="1193"/>
      <c r="I47" s="1193"/>
      <c r="J47" s="1193"/>
      <c r="K47" s="1193"/>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25">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25">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25">
      <c r="B50" s="94"/>
      <c r="C50" s="913"/>
      <c r="D50" s="1197" t="str">
        <f>Translations!$B$13</f>
        <v>The following two sheets summarise the results at process and product level, respectively:</v>
      </c>
      <c r="E50" s="1197"/>
      <c r="F50" s="1197"/>
      <c r="G50" s="1197"/>
      <c r="H50" s="1197"/>
      <c r="I50" s="1197"/>
      <c r="J50" s="1197"/>
      <c r="K50" s="1197"/>
      <c r="L50" s="144"/>
      <c r="M50" s="144"/>
      <c r="N50" s="144"/>
      <c r="O50" s="428"/>
      <c r="Q50" s="144"/>
      <c r="R50" s="171"/>
      <c r="S50" s="171"/>
      <c r="T50" s="171"/>
      <c r="U50" s="1119"/>
      <c r="V50" s="144"/>
    </row>
    <row r="51" spans="2:22" x14ac:dyDescent="0.25">
      <c r="B51" s="94"/>
      <c r="C51" s="913"/>
      <c r="D51" s="1196" t="str">
        <f ca="1">HYPERLINK("#"&amp;S51,INDIRECT(S51))</f>
        <v>Summary of production processes</v>
      </c>
      <c r="E51" s="1196"/>
      <c r="F51" s="1196"/>
      <c r="G51" s="1196"/>
      <c r="H51" s="1196"/>
      <c r="I51" s="1196"/>
      <c r="J51" s="1196"/>
      <c r="K51" s="1196"/>
      <c r="L51" s="144"/>
      <c r="M51" s="144"/>
      <c r="N51" s="144"/>
      <c r="O51" s="428"/>
      <c r="Q51" s="144"/>
      <c r="R51" s="171"/>
      <c r="S51" s="367" t="str">
        <f ca="1">ADDRESS(2,2,,,T51)</f>
        <v>Summary_Processes!$B$2</v>
      </c>
      <c r="T51" s="928" t="str">
        <f ca="1">Summary_Processes!$Y$2</f>
        <v>Summary_Processes</v>
      </c>
      <c r="U51" s="1119"/>
      <c r="V51" s="144"/>
    </row>
    <row r="52" spans="2:22" x14ac:dyDescent="0.25">
      <c r="B52" s="94"/>
      <c r="C52" s="913"/>
      <c r="D52" s="1196" t="str">
        <f ca="1">HYPERLINK("#"&amp;S52,INDIRECT(S52))</f>
        <v>Summary of products</v>
      </c>
      <c r="E52" s="1196"/>
      <c r="F52" s="1196"/>
      <c r="G52" s="1196"/>
      <c r="H52" s="1196"/>
      <c r="I52" s="1196"/>
      <c r="J52" s="1196"/>
      <c r="K52" s="1196"/>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25">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25">
      <c r="B54" s="94"/>
      <c r="C54" s="913"/>
      <c r="D54" s="1197" t="str">
        <f>Translations!$B$14</f>
        <v>The following sheet summarises the main information to be communicated to the reporting declarant:</v>
      </c>
      <c r="E54" s="1197"/>
      <c r="F54" s="1197"/>
      <c r="G54" s="1197"/>
      <c r="H54" s="1197"/>
      <c r="I54" s="1197"/>
      <c r="J54" s="1197"/>
      <c r="K54" s="1197"/>
      <c r="L54" s="144"/>
      <c r="M54" s="144"/>
      <c r="N54" s="144"/>
      <c r="O54" s="428"/>
      <c r="Q54" s="144"/>
      <c r="R54" s="171"/>
      <c r="S54" s="493"/>
      <c r="T54" s="928"/>
      <c r="U54" s="1119"/>
      <c r="V54" s="144"/>
    </row>
    <row r="55" spans="2:22" ht="12.75" customHeight="1" x14ac:dyDescent="0.25">
      <c r="B55" s="94"/>
      <c r="C55" s="913"/>
      <c r="D55" s="1196" t="str">
        <f ca="1">HYPERLINK("#"&amp;S55,INDIRECT(S55))</f>
        <v>Communication with reporting declarants</v>
      </c>
      <c r="E55" s="1196"/>
      <c r="F55" s="1196"/>
      <c r="G55" s="1196"/>
      <c r="H55" s="1196"/>
      <c r="I55" s="1196"/>
      <c r="J55" s="1196"/>
      <c r="K55" s="1196"/>
      <c r="L55" s="144"/>
      <c r="M55" s="144"/>
      <c r="N55" s="144"/>
      <c r="O55" s="428"/>
      <c r="Q55" s="144"/>
      <c r="R55" s="171"/>
      <c r="S55" s="367" t="str">
        <f ca="1">ADDRESS(2,2,,,T55)</f>
        <v>Summary_Communication!$B$2</v>
      </c>
      <c r="T55" s="928" t="str">
        <f ca="1">Summary_Communication!$BF$2</f>
        <v>Summary_Communication</v>
      </c>
      <c r="U55" s="1119"/>
      <c r="V55" s="144"/>
    </row>
    <row r="56" spans="2:22" ht="5.0999999999999996" customHeight="1" x14ac:dyDescent="0.25">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25">
      <c r="B57" s="94"/>
      <c r="C57" s="913"/>
      <c r="D57" s="1116"/>
      <c r="E57" s="1117"/>
      <c r="F57" s="913"/>
      <c r="G57" s="913"/>
      <c r="H57" s="913"/>
      <c r="I57" s="913"/>
      <c r="J57" s="913"/>
      <c r="K57" s="913"/>
      <c r="L57" s="144"/>
      <c r="M57" s="144"/>
      <c r="N57" s="144"/>
      <c r="O57" s="428"/>
      <c r="Q57" s="144"/>
      <c r="R57" s="171"/>
      <c r="S57" s="493"/>
      <c r="T57" s="928"/>
      <c r="U57" s="1119"/>
      <c r="V57" s="144"/>
    </row>
    <row r="58" spans="2:22" ht="13.5" thickBot="1" x14ac:dyDescent="0.3">
      <c r="B58" s="94"/>
      <c r="C58" s="144"/>
      <c r="D58" s="144"/>
      <c r="E58" s="144"/>
      <c r="F58" s="144"/>
      <c r="G58" s="144"/>
      <c r="H58" s="144"/>
      <c r="I58" s="144"/>
      <c r="J58" s="144"/>
      <c r="K58" s="144"/>
      <c r="L58" s="144"/>
      <c r="M58" s="144"/>
      <c r="N58" s="144"/>
      <c r="O58" s="428"/>
      <c r="Q58" s="144"/>
      <c r="R58" s="171"/>
      <c r="S58" s="171"/>
      <c r="T58" s="171"/>
      <c r="U58" s="1119"/>
      <c r="V58" s="144"/>
    </row>
    <row r="59" spans="2:22" x14ac:dyDescent="0.25">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5" thickBot="1" x14ac:dyDescent="0.3">
      <c r="B60" s="94"/>
      <c r="C60" s="144"/>
      <c r="D60" s="78" t="str">
        <f>Translations!$B$16</f>
        <v>Reference filename:</v>
      </c>
      <c r="E60" s="79"/>
      <c r="F60" s="79"/>
      <c r="G60" s="80"/>
      <c r="H60" s="81" t="str">
        <f>VersionDocumentation!C3</f>
        <v>CBAM SEE Communication V2_UBA_en_131224.xls</v>
      </c>
      <c r="I60" s="81"/>
      <c r="J60" s="81"/>
      <c r="K60" s="82"/>
      <c r="L60" s="144"/>
      <c r="M60" s="144"/>
      <c r="N60" s="144"/>
      <c r="O60" s="428"/>
      <c r="Q60" s="144"/>
      <c r="R60" s="171"/>
      <c r="S60" s="171"/>
      <c r="T60" s="171"/>
      <c r="U60" s="1119"/>
      <c r="V60" s="144"/>
    </row>
    <row r="61" spans="2:22" x14ac:dyDescent="0.25">
      <c r="B61" s="94"/>
      <c r="C61" s="144"/>
      <c r="D61" s="83"/>
      <c r="E61" s="83"/>
      <c r="F61" s="83"/>
      <c r="G61" s="83"/>
      <c r="H61" s="83"/>
      <c r="I61" s="83"/>
      <c r="J61" s="83"/>
      <c r="K61" s="83"/>
      <c r="L61" s="144"/>
      <c r="M61" s="144"/>
      <c r="N61" s="144"/>
      <c r="O61" s="428"/>
      <c r="Q61" s="144"/>
      <c r="R61" s="171"/>
      <c r="S61" s="171"/>
      <c r="T61" s="171"/>
      <c r="U61" s="1119"/>
      <c r="V61" s="144"/>
    </row>
    <row r="62" spans="2:22" ht="13.5" thickBot="1" x14ac:dyDescent="0.3">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25">
      <c r="B63" s="94"/>
      <c r="C63" s="144"/>
      <c r="D63" s="73" t="str">
        <f>Translations!$B$18</f>
        <v>Installation name:</v>
      </c>
      <c r="E63" s="74"/>
      <c r="F63" s="74"/>
      <c r="G63" s="75"/>
      <c r="H63" s="76" t="str">
        <f>IF(A_InstData!I20="","",A_InstData!I20)</f>
        <v/>
      </c>
      <c r="I63" s="76"/>
      <c r="J63" s="76"/>
      <c r="K63" s="77"/>
      <c r="L63" s="144"/>
      <c r="M63" s="144"/>
      <c r="N63" s="144"/>
      <c r="O63" s="428"/>
      <c r="Q63" s="144"/>
      <c r="R63" s="171"/>
      <c r="S63" s="171"/>
      <c r="T63" s="171"/>
      <c r="U63" s="1119"/>
      <c r="V63" s="144"/>
    </row>
    <row r="64" spans="2:22" ht="13.5" thickBot="1" x14ac:dyDescent="0.25">
      <c r="B64" s="94"/>
      <c r="C64" s="144"/>
      <c r="D64" s="72" t="str">
        <f>Translations!$B$19</f>
        <v>Reporting period:</v>
      </c>
      <c r="E64" s="84"/>
      <c r="F64" s="84"/>
      <c r="G64" s="85"/>
      <c r="H64" s="87" t="str">
        <f>Translations!$B$20</f>
        <v>from:</v>
      </c>
      <c r="I64" s="88" t="str">
        <f>IF(A_InstData!I9="","",A_InstData!I9)</f>
        <v/>
      </c>
      <c r="J64" s="86" t="str">
        <f>Translations!$B$21</f>
        <v>to:</v>
      </c>
      <c r="K64" s="89" t="str">
        <f>IF(A_InstData!L9="","",A_InstData!L9)</f>
        <v/>
      </c>
      <c r="L64" s="144"/>
      <c r="M64" s="144"/>
      <c r="N64" s="144"/>
      <c r="O64" s="428"/>
      <c r="Q64" s="144"/>
      <c r="R64" s="171"/>
      <c r="S64" s="171"/>
      <c r="T64" s="171"/>
      <c r="U64" s="1119"/>
      <c r="V64" s="144"/>
    </row>
    <row r="65" spans="1:22" ht="12.75" customHeight="1" thickBot="1" x14ac:dyDescent="0.3">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25">
      <c r="A66" s="91" t="s">
        <v>3</v>
      </c>
      <c r="O66" s="427"/>
      <c r="P66" s="92" t="s">
        <v>116</v>
      </c>
      <c r="U66" s="92"/>
      <c r="V66" s="171"/>
    </row>
    <row r="67" spans="1:22" s="91" customFormat="1" ht="12.75" hidden="1" customHeight="1" x14ac:dyDescent="0.25">
      <c r="A67" s="91" t="s">
        <v>3</v>
      </c>
      <c r="O67" s="427"/>
      <c r="P67" s="92"/>
      <c r="U67" s="92"/>
      <c r="V67" s="171"/>
    </row>
    <row r="68" spans="1:22" s="91" customFormat="1" ht="12.75" hidden="1" customHeight="1" x14ac:dyDescent="0.25">
      <c r="A68" s="91" t="s">
        <v>3</v>
      </c>
      <c r="O68" s="427"/>
      <c r="P68" s="92"/>
      <c r="U68" s="92"/>
      <c r="V68" s="171"/>
    </row>
    <row r="69" spans="1:22" s="91" customFormat="1" ht="12.75" hidden="1" customHeight="1" x14ac:dyDescent="0.25">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2" sqref="B2:D4"/>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1" width="11.42578125" style="91" hidden="1" customWidth="1"/>
    <col min="22" max="16384" width="11.42578125" style="93"/>
  </cols>
  <sheetData>
    <row r="1" spans="1:21" s="91" customFormat="1" ht="14.1" hidden="1" customHeight="1" thickBot="1" x14ac:dyDescent="0.3">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
      <c r="A2" s="92"/>
      <c r="B2" s="1166" t="str">
        <f>Translations!$B$22</f>
        <v>Guidelines &amp; Conditions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25">
      <c r="A3" s="92"/>
      <c r="B3" s="1169"/>
      <c r="C3" s="1170"/>
      <c r="D3" s="1171"/>
      <c r="E3" s="1165"/>
      <c r="F3" s="1165"/>
      <c r="G3" s="1206" t="str">
        <f>IFERROR(HYPERLINK("#"&amp;ADDRESS(ROW($A$1)+MATCH(R3,$A:$A,0)-1,COLUMN($A$1)),INDEX($R:$R,MATCH(R3,$A:$A,0))),"")</f>
        <v>General information</v>
      </c>
      <c r="H3" s="1206"/>
      <c r="I3" s="1206" t="str">
        <f>IFERROR(HYPERLINK("#"&amp;ADDRESS(ROW($A$1)+MATCH(T3,$A:$A,0)-1,COLUMN($A$1)),INDEX($R:$R,MATCH(T3,$A:$A,0))),"")</f>
        <v>How to use this file</v>
      </c>
      <c r="J3" s="1206"/>
      <c r="K3" s="1206"/>
      <c r="L3" s="1206"/>
      <c r="M3" s="1206"/>
      <c r="N3" s="1206"/>
      <c r="O3" s="428"/>
      <c r="P3" s="144"/>
      <c r="Q3" s="144"/>
      <c r="R3" s="437">
        <v>1</v>
      </c>
      <c r="S3" s="438"/>
      <c r="T3" s="438">
        <v>2</v>
      </c>
      <c r="U3" s="1126"/>
    </row>
    <row r="4" spans="1:21" ht="14.1" customHeight="1" thickBot="1" x14ac:dyDescent="0.3">
      <c r="A4" s="92"/>
      <c r="B4" s="1172"/>
      <c r="C4" s="1173"/>
      <c r="D4" s="1174"/>
      <c r="E4" s="1165"/>
      <c r="F4" s="1165"/>
      <c r="G4" s="1206"/>
      <c r="H4" s="1206"/>
      <c r="I4" s="1206"/>
      <c r="J4" s="1206"/>
      <c r="K4" s="1206"/>
      <c r="L4" s="1206"/>
      <c r="M4" s="1206"/>
      <c r="N4" s="1206"/>
      <c r="O4" s="428"/>
      <c r="P4" s="144"/>
      <c r="Q4" s="144"/>
      <c r="R4" s="439"/>
      <c r="S4" s="440"/>
      <c r="T4" s="440"/>
      <c r="U4" s="1127"/>
    </row>
    <row r="5" spans="1:21" ht="5.0999999999999996" customHeight="1" x14ac:dyDescent="0.25">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25">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25">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25">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25">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25">
      <c r="A10" s="92"/>
      <c r="B10" s="1129">
        <v>1</v>
      </c>
      <c r="C10" s="1204"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4"/>
      <c r="E10" s="1204"/>
      <c r="F10" s="1204"/>
      <c r="G10" s="1204"/>
      <c r="H10" s="1204"/>
      <c r="I10" s="1204"/>
      <c r="J10" s="1204"/>
      <c r="K10" s="1204"/>
      <c r="L10" s="1204"/>
      <c r="M10" s="1204"/>
      <c r="N10" s="1204"/>
      <c r="O10" s="428"/>
      <c r="P10" s="144"/>
      <c r="Q10" s="144"/>
      <c r="R10" s="171"/>
      <c r="S10" s="171"/>
      <c r="T10" s="171"/>
      <c r="U10" s="427"/>
    </row>
    <row r="11" spans="1:21" ht="13.15" customHeight="1" x14ac:dyDescent="0.25">
      <c r="A11" s="92"/>
      <c r="B11" s="1129"/>
      <c r="C11" s="1200" t="str">
        <f>HYPERLINK(Translations!$B$27,Translations!$B$27)</f>
        <v>https://eur-lex.europa.eu/eli/reg/2023/956/oj</v>
      </c>
      <c r="D11" s="1160"/>
      <c r="E11" s="1160"/>
      <c r="F11" s="1160"/>
      <c r="G11" s="1160"/>
      <c r="H11" s="1160"/>
      <c r="I11" s="1160"/>
      <c r="J11" s="1160"/>
      <c r="K11" s="1160"/>
      <c r="L11" s="1160"/>
      <c r="M11" s="1160"/>
      <c r="N11" s="1160"/>
      <c r="O11" s="428"/>
      <c r="P11" s="144"/>
      <c r="Q11" s="144"/>
      <c r="R11" s="171"/>
      <c r="S11" s="171"/>
      <c r="T11" s="171"/>
      <c r="U11" s="427"/>
    </row>
    <row r="12" spans="1:21" ht="39.6" customHeight="1" x14ac:dyDescent="0.25">
      <c r="A12" s="92"/>
      <c r="B12" s="1129">
        <v>2</v>
      </c>
      <c r="C12" s="1204"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4"/>
      <c r="E12" s="1204"/>
      <c r="F12" s="1204"/>
      <c r="G12" s="1204"/>
      <c r="H12" s="1204"/>
      <c r="I12" s="1204"/>
      <c r="J12" s="1204"/>
      <c r="K12" s="1204"/>
      <c r="L12" s="1204"/>
      <c r="M12" s="1204"/>
      <c r="N12" s="1204"/>
      <c r="O12" s="428"/>
      <c r="P12" s="144"/>
      <c r="Q12" s="144"/>
      <c r="R12" s="171"/>
      <c r="S12" s="171"/>
      <c r="T12" s="171"/>
      <c r="U12" s="427"/>
    </row>
    <row r="13" spans="1:21" ht="13.15" customHeight="1" x14ac:dyDescent="0.25">
      <c r="A13" s="92"/>
      <c r="B13" s="1129"/>
      <c r="C13" s="1200" t="str">
        <f>HYPERLINK(Translations!$B$1916,Translations!$B$1916)</f>
        <v>http://data.europa.eu/eli/reg_impl/2023/1773/oj</v>
      </c>
      <c r="D13" s="1160"/>
      <c r="E13" s="1160"/>
      <c r="F13" s="1160"/>
      <c r="G13" s="1160"/>
      <c r="H13" s="1160"/>
      <c r="I13" s="1160"/>
      <c r="J13" s="1160"/>
      <c r="K13" s="1160"/>
      <c r="L13" s="1160"/>
      <c r="M13" s="1160"/>
      <c r="N13" s="1160"/>
      <c r="O13" s="428"/>
      <c r="P13" s="144"/>
      <c r="Q13" s="144"/>
      <c r="R13" s="171"/>
      <c r="S13" s="171"/>
      <c r="T13" s="171"/>
      <c r="U13" s="427"/>
    </row>
    <row r="14" spans="1:21" ht="39.6" customHeight="1" x14ac:dyDescent="0.25">
      <c r="A14" s="92"/>
      <c r="B14" s="1129">
        <v>3</v>
      </c>
      <c r="C14" s="1204"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4"/>
      <c r="E14" s="1204"/>
      <c r="F14" s="1204"/>
      <c r="G14" s="1204"/>
      <c r="H14" s="1204"/>
      <c r="I14" s="1204"/>
      <c r="J14" s="1204"/>
      <c r="K14" s="1204"/>
      <c r="L14" s="1204"/>
      <c r="M14" s="1204"/>
      <c r="N14" s="1204"/>
      <c r="O14" s="428"/>
      <c r="P14" s="144"/>
      <c r="Q14" s="144"/>
      <c r="R14" s="171"/>
      <c r="S14" s="171"/>
      <c r="T14" s="171"/>
      <c r="U14" s="427"/>
    </row>
    <row r="15" spans="1:21" ht="26.45" customHeight="1" x14ac:dyDescent="0.25">
      <c r="A15" s="92"/>
      <c r="B15" s="1129">
        <v>4</v>
      </c>
      <c r="C15" s="1204"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4"/>
      <c r="E15" s="1204"/>
      <c r="F15" s="1204"/>
      <c r="G15" s="1204"/>
      <c r="H15" s="1204"/>
      <c r="I15" s="1204"/>
      <c r="J15" s="1204"/>
      <c r="K15" s="1204"/>
      <c r="L15" s="1204"/>
      <c r="M15" s="1204"/>
      <c r="N15" s="1204"/>
      <c r="O15" s="428"/>
      <c r="P15" s="144"/>
      <c r="Q15" s="144"/>
      <c r="R15" s="171"/>
      <c r="S15" s="171"/>
      <c r="T15" s="171"/>
      <c r="U15" s="427"/>
    </row>
    <row r="16" spans="1:21" ht="13.15" customHeight="1" x14ac:dyDescent="0.25">
      <c r="A16" s="92"/>
      <c r="B16" s="1129"/>
      <c r="C16" s="1204" t="str">
        <f>Translations!$B$32</f>
        <v xml:space="preserve">The views expressed in this file represent the views of the authors and not necessarily those of the European Commission. </v>
      </c>
      <c r="D16" s="1204"/>
      <c r="E16" s="1204"/>
      <c r="F16" s="1204"/>
      <c r="G16" s="1204"/>
      <c r="H16" s="1204"/>
      <c r="I16" s="1204"/>
      <c r="J16" s="1204"/>
      <c r="K16" s="1204"/>
      <c r="L16" s="1204"/>
      <c r="M16" s="1204"/>
      <c r="N16" s="1204"/>
      <c r="O16" s="428"/>
      <c r="P16" s="144"/>
      <c r="Q16" s="144"/>
      <c r="R16" s="171"/>
      <c r="S16" s="171"/>
      <c r="T16" s="171"/>
      <c r="U16" s="427"/>
    </row>
    <row r="17" spans="1:21" ht="26.45" customHeight="1" x14ac:dyDescent="0.25">
      <c r="A17" s="92"/>
      <c r="B17" s="1130">
        <v>5</v>
      </c>
      <c r="C17" s="1205" t="str">
        <f>Translations!$B$1917</f>
        <v>This is the published version 2.1.1 of the CBAM template, version of 13 December 2024.</v>
      </c>
      <c r="D17" s="1205"/>
      <c r="E17" s="1205"/>
      <c r="F17" s="1205"/>
      <c r="G17" s="1205"/>
      <c r="H17" s="1205"/>
      <c r="I17" s="1205"/>
      <c r="J17" s="1205"/>
      <c r="K17" s="1205"/>
      <c r="L17" s="1205"/>
      <c r="M17" s="1205"/>
      <c r="N17" s="1205"/>
      <c r="O17" s="428"/>
      <c r="P17" s="144"/>
      <c r="Q17" s="144"/>
      <c r="R17" s="171"/>
      <c r="S17" s="171"/>
      <c r="T17" s="171"/>
      <c r="U17" s="427"/>
    </row>
    <row r="18" spans="1:21" ht="13.15" customHeight="1" x14ac:dyDescent="0.25">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25">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000000000000004" customHeight="1" x14ac:dyDescent="0.25">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15" customHeight="1" x14ac:dyDescent="0.25">
      <c r="A21" s="92"/>
      <c r="B21" s="1129">
        <v>6</v>
      </c>
      <c r="C21" s="1204" t="str">
        <f>Translations!$B$35</f>
        <v>Automatic calculation (to be found in the menu Formula/Calculation options) must be turned on.</v>
      </c>
      <c r="D21" s="1204"/>
      <c r="E21" s="1204"/>
      <c r="F21" s="1204"/>
      <c r="G21" s="1204"/>
      <c r="H21" s="1204"/>
      <c r="I21" s="1204"/>
      <c r="J21" s="1204"/>
      <c r="K21" s="1204"/>
      <c r="L21" s="1204"/>
      <c r="M21" s="1204"/>
      <c r="N21" s="1204"/>
      <c r="O21" s="428"/>
      <c r="P21" s="144"/>
      <c r="Q21" s="144"/>
      <c r="R21" s="171"/>
      <c r="S21" s="171"/>
      <c r="T21" s="171"/>
      <c r="U21" s="427"/>
    </row>
    <row r="22" spans="1:21" ht="26.45" customHeight="1" x14ac:dyDescent="0.25">
      <c r="A22" s="92"/>
      <c r="B22" s="1129"/>
      <c r="C22" s="1204" t="str">
        <f>Translations!$B$36</f>
        <v>It is recommended that you go through the file from start to end. There are a few functions which will guide you through the form which depend on previous input, such as cells changing colour if an input is not needed (see colour codes below).</v>
      </c>
      <c r="D22" s="1204"/>
      <c r="E22" s="1204"/>
      <c r="F22" s="1204"/>
      <c r="G22" s="1204"/>
      <c r="H22" s="1204"/>
      <c r="I22" s="1204"/>
      <c r="J22" s="1204"/>
      <c r="K22" s="1204"/>
      <c r="L22" s="1204"/>
      <c r="M22" s="1204"/>
      <c r="N22" s="1204"/>
      <c r="O22" s="428"/>
      <c r="P22" s="144"/>
      <c r="Q22" s="144"/>
      <c r="R22" s="171"/>
      <c r="S22" s="171"/>
      <c r="T22" s="171"/>
      <c r="U22" s="427"/>
    </row>
    <row r="23" spans="1:21" ht="39.6" customHeight="1" x14ac:dyDescent="0.25">
      <c r="A23" s="92"/>
      <c r="B23" s="1129">
        <v>7</v>
      </c>
      <c r="C23" s="1204"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4"/>
      <c r="E23" s="1204"/>
      <c r="F23" s="1204"/>
      <c r="G23" s="1204"/>
      <c r="H23" s="1204"/>
      <c r="I23" s="1204"/>
      <c r="J23" s="1204"/>
      <c r="K23" s="1204"/>
      <c r="L23" s="1204"/>
      <c r="M23" s="1204"/>
      <c r="N23" s="1204"/>
      <c r="O23" s="428"/>
      <c r="P23" s="144"/>
      <c r="Q23" s="144"/>
      <c r="R23" s="171"/>
      <c r="S23" s="171"/>
      <c r="T23" s="171"/>
      <c r="U23" s="427"/>
    </row>
    <row r="24" spans="1:21" ht="39.6" customHeight="1" x14ac:dyDescent="0.25">
      <c r="A24" s="92"/>
      <c r="B24" s="1129">
        <v>8</v>
      </c>
      <c r="C24" s="1204"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4"/>
      <c r="E24" s="1204"/>
      <c r="F24" s="1204"/>
      <c r="G24" s="1204"/>
      <c r="H24" s="1204"/>
      <c r="I24" s="1204"/>
      <c r="J24" s="1204"/>
      <c r="K24" s="1204"/>
      <c r="L24" s="1204"/>
      <c r="M24" s="1204"/>
      <c r="N24" s="1204"/>
      <c r="O24" s="428"/>
      <c r="P24" s="144"/>
      <c r="Q24" s="144"/>
      <c r="R24" s="171"/>
      <c r="S24" s="171"/>
      <c r="T24" s="171"/>
      <c r="U24" s="427"/>
    </row>
    <row r="25" spans="1:21" ht="26.45" customHeight="1" x14ac:dyDescent="0.25">
      <c r="A25" s="92"/>
      <c r="B25" s="1129">
        <v>9</v>
      </c>
      <c r="C25" s="1204"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4"/>
      <c r="E25" s="1204"/>
      <c r="F25" s="1204"/>
      <c r="G25" s="1204"/>
      <c r="H25" s="1204"/>
      <c r="I25" s="1204"/>
      <c r="J25" s="1204"/>
      <c r="K25" s="1204"/>
      <c r="L25" s="1204"/>
      <c r="M25" s="1204"/>
      <c r="N25" s="1204"/>
      <c r="O25" s="428"/>
      <c r="P25" s="144"/>
      <c r="Q25" s="144"/>
      <c r="R25" s="171"/>
      <c r="S25" s="171"/>
      <c r="T25" s="171"/>
      <c r="U25" s="427"/>
    </row>
    <row r="26" spans="1:21" ht="13.15" customHeight="1" x14ac:dyDescent="0.25">
      <c r="A26" s="92"/>
      <c r="B26" s="1129"/>
      <c r="C26" s="1204" t="str">
        <f>Translations!$B$1919</f>
        <v>Special care must be taken to ensure consistency of data with the units displayed.</v>
      </c>
      <c r="D26" s="1204"/>
      <c r="E26" s="1204"/>
      <c r="F26" s="1204"/>
      <c r="G26" s="1204"/>
      <c r="H26" s="1204"/>
      <c r="I26" s="1204"/>
      <c r="J26" s="1204"/>
      <c r="K26" s="1204"/>
      <c r="L26" s="1204"/>
      <c r="M26" s="1204"/>
      <c r="N26" s="1204"/>
      <c r="O26" s="428"/>
      <c r="P26" s="144"/>
      <c r="Q26" s="144"/>
      <c r="R26" s="171"/>
      <c r="S26" s="171"/>
      <c r="T26" s="171"/>
      <c r="U26" s="427"/>
    </row>
    <row r="27" spans="1:21" ht="4.9000000000000004" customHeight="1" x14ac:dyDescent="0.25">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15" customHeight="1" x14ac:dyDescent="0.25">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15" customHeight="1" x14ac:dyDescent="0.25">
      <c r="A29" s="92"/>
      <c r="B29" s="1129"/>
      <c r="C29" s="1131"/>
      <c r="D29" s="1201" t="str">
        <f>Translations!$B$42</f>
        <v>Black bold text:</v>
      </c>
      <c r="E29" s="1160"/>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15" customHeight="1" x14ac:dyDescent="0.25">
      <c r="A30" s="92"/>
      <c r="B30" s="1129"/>
      <c r="C30" s="1131"/>
      <c r="D30" s="1202" t="str">
        <f>Translations!$B$44</f>
        <v>Smaller italic text:</v>
      </c>
      <c r="E30" s="1203"/>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15" customHeight="1" x14ac:dyDescent="0.25">
      <c r="A31" s="92"/>
      <c r="B31" s="1129"/>
      <c r="C31" s="1131"/>
      <c r="D31" s="1207"/>
      <c r="E31" s="1208"/>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15" customHeight="1" x14ac:dyDescent="0.25">
      <c r="A32" s="92"/>
      <c r="B32" s="1129"/>
      <c r="C32" s="1131"/>
      <c r="D32" s="1209"/>
      <c r="E32" s="1210"/>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15" customHeight="1" x14ac:dyDescent="0.25">
      <c r="A33" s="92"/>
      <c r="B33" s="1129"/>
      <c r="C33" s="1131"/>
      <c r="D33" s="1211"/>
      <c r="E33" s="1212"/>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15" customHeight="1" x14ac:dyDescent="0.25">
      <c r="A34" s="92"/>
      <c r="B34" s="1129"/>
      <c r="C34" s="1131"/>
      <c r="D34" s="1213" t="str">
        <f>CONST_NA</f>
        <v>n.a.</v>
      </c>
      <c r="E34" s="1214"/>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15" customHeight="1" x14ac:dyDescent="0.25">
      <c r="A35" s="92"/>
      <c r="B35" s="1129"/>
      <c r="C35" s="1131"/>
      <c r="D35" s="1219"/>
      <c r="E35" s="1219"/>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15" customHeight="1" x14ac:dyDescent="0.25">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15" customHeight="1" x14ac:dyDescent="0.25">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15" customHeight="1" x14ac:dyDescent="0.25">
      <c r="A38" s="92"/>
      <c r="B38" s="1129"/>
      <c r="C38" s="1131"/>
      <c r="D38" s="433"/>
      <c r="E38" s="1217" t="str">
        <f>Translations!$B$52</f>
        <v>White indicates that data entry is not required here, based on entries in another field making inputs here irrelevant (see 'shaded fields' above).</v>
      </c>
      <c r="F38" s="1218"/>
      <c r="G38" s="1218"/>
      <c r="H38" s="1218"/>
      <c r="I38" s="1218"/>
      <c r="J38" s="1218"/>
      <c r="K38" s="1218"/>
      <c r="L38" s="1218"/>
      <c r="M38" s="1218"/>
      <c r="N38" s="1218"/>
      <c r="O38" s="428"/>
      <c r="P38" s="144"/>
      <c r="Q38" s="144"/>
      <c r="R38" s="171"/>
      <c r="S38" s="171"/>
      <c r="T38" s="171"/>
      <c r="U38" s="427"/>
    </row>
    <row r="39" spans="1:21" ht="13.15" customHeight="1" x14ac:dyDescent="0.25">
      <c r="A39" s="92"/>
      <c r="B39" s="1129"/>
      <c r="C39" s="1131"/>
      <c r="D39" s="435"/>
      <c r="E39" s="1217" t="str">
        <f>Translations!$B$53</f>
        <v>Red colour indicates data inputs are required but the relevant cells are empty or filled incorrectly.</v>
      </c>
      <c r="F39" s="1218"/>
      <c r="G39" s="1218"/>
      <c r="H39" s="1218"/>
      <c r="I39" s="1218"/>
      <c r="J39" s="1218"/>
      <c r="K39" s="1218"/>
      <c r="L39" s="1218"/>
      <c r="M39" s="1218"/>
      <c r="N39" s="1218"/>
      <c r="O39" s="428"/>
      <c r="P39" s="144"/>
      <c r="Q39" s="144"/>
      <c r="R39" s="171"/>
      <c r="S39" s="171"/>
      <c r="T39" s="171"/>
      <c r="U39" s="427"/>
    </row>
    <row r="40" spans="1:21" ht="13.15" customHeight="1" x14ac:dyDescent="0.25">
      <c r="A40" s="92"/>
      <c r="B40" s="1129"/>
      <c r="C40" s="1131"/>
      <c r="D40" s="434"/>
      <c r="E40" s="1217" t="str">
        <f>Translations!$B$54</f>
        <v>Green colour indicates data inputs are required and cells have been filled correctly.</v>
      </c>
      <c r="F40" s="1218"/>
      <c r="G40" s="1218"/>
      <c r="H40" s="1218"/>
      <c r="I40" s="1218"/>
      <c r="J40" s="1218"/>
      <c r="K40" s="1218"/>
      <c r="L40" s="1218"/>
      <c r="M40" s="1218"/>
      <c r="N40" s="1218"/>
      <c r="O40" s="428"/>
      <c r="P40" s="144"/>
      <c r="Q40" s="144"/>
      <c r="R40" s="171"/>
      <c r="S40" s="171"/>
      <c r="T40" s="171"/>
      <c r="U40" s="427"/>
    </row>
    <row r="41" spans="1:21" ht="13.15" customHeight="1" x14ac:dyDescent="0.25">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25">
      <c r="A42" s="92"/>
      <c r="B42" s="1129">
        <v>11</v>
      </c>
      <c r="C42" s="1204"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4"/>
      <c r="E42" s="1204"/>
      <c r="F42" s="1204"/>
      <c r="G42" s="1204"/>
      <c r="H42" s="1204"/>
      <c r="I42" s="1204"/>
      <c r="J42" s="1204"/>
      <c r="K42" s="1204"/>
      <c r="L42" s="1204"/>
      <c r="M42" s="1204"/>
      <c r="N42" s="1204"/>
      <c r="O42" s="428"/>
      <c r="P42" s="144"/>
      <c r="Q42" s="144"/>
      <c r="R42" s="171"/>
      <c r="S42" s="171"/>
      <c r="T42" s="171"/>
      <c r="U42" s="427"/>
    </row>
    <row r="43" spans="1:21" ht="39.6" customHeight="1" x14ac:dyDescent="0.25">
      <c r="A43" s="92"/>
      <c r="B43" s="1129">
        <v>12</v>
      </c>
      <c r="C43" s="1204"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4"/>
      <c r="E43" s="1204"/>
      <c r="F43" s="1204"/>
      <c r="G43" s="1204"/>
      <c r="H43" s="1204"/>
      <c r="I43" s="1204"/>
      <c r="J43" s="1204"/>
      <c r="K43" s="1204"/>
      <c r="L43" s="1204"/>
      <c r="M43" s="1204"/>
      <c r="N43" s="1204"/>
      <c r="O43" s="428"/>
      <c r="P43" s="144"/>
      <c r="Q43" s="144"/>
      <c r="R43" s="171"/>
      <c r="S43" s="171"/>
      <c r="T43" s="171"/>
      <c r="U43" s="427"/>
    </row>
    <row r="44" spans="1:21" ht="26.45" customHeight="1" x14ac:dyDescent="0.25">
      <c r="A44" s="92"/>
      <c r="B44" s="1129">
        <v>13</v>
      </c>
      <c r="C44" s="1204"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20"/>
      <c r="E44" s="1220"/>
      <c r="F44" s="1220"/>
      <c r="G44" s="1220"/>
      <c r="H44" s="1220"/>
      <c r="I44" s="1220"/>
      <c r="J44" s="1220"/>
      <c r="K44" s="1220"/>
      <c r="L44" s="1220"/>
      <c r="M44" s="1220"/>
      <c r="N44" s="1220"/>
      <c r="O44" s="428"/>
      <c r="P44" s="144"/>
      <c r="Q44" s="144"/>
      <c r="R44" s="171"/>
      <c r="S44" s="171"/>
      <c r="T44" s="171"/>
      <c r="U44" s="427"/>
    </row>
    <row r="45" spans="1:21" ht="13.15" customHeight="1" x14ac:dyDescent="0.25">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25">
      <c r="A46" s="92"/>
      <c r="B46" s="1129">
        <v>14</v>
      </c>
      <c r="C46" s="1215"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6"/>
      <c r="E46" s="1216"/>
      <c r="F46" s="1216"/>
      <c r="G46" s="1216"/>
      <c r="H46" s="1216"/>
      <c r="I46" s="1216"/>
      <c r="J46" s="1216"/>
      <c r="K46" s="1216"/>
      <c r="L46" s="1216"/>
      <c r="M46" s="1216"/>
      <c r="N46" s="1216"/>
      <c r="O46" s="428"/>
      <c r="P46" s="144"/>
      <c r="Q46" s="144"/>
      <c r="R46" s="171"/>
      <c r="S46" s="171"/>
      <c r="T46" s="171"/>
      <c r="U46" s="427"/>
    </row>
    <row r="47" spans="1:21" ht="13.15" customHeight="1" x14ac:dyDescent="0.25">
      <c r="A47" s="92"/>
      <c r="B47" s="94"/>
      <c r="C47" s="144"/>
      <c r="D47" s="144"/>
      <c r="E47" s="144"/>
      <c r="F47" s="144"/>
      <c r="G47" s="144"/>
      <c r="H47" s="144"/>
      <c r="I47" s="144"/>
      <c r="J47" s="144"/>
      <c r="K47" s="144"/>
      <c r="L47" s="144"/>
      <c r="M47" s="144"/>
      <c r="N47" s="144"/>
      <c r="O47" s="428"/>
      <c r="P47" s="144"/>
      <c r="Q47" s="144"/>
      <c r="R47" s="171"/>
      <c r="S47" s="171"/>
      <c r="T47" s="171"/>
      <c r="U47" s="427"/>
    </row>
    <row r="48" spans="1:21" ht="13.15" customHeight="1" x14ac:dyDescent="0.25">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15" customHeight="1" x14ac:dyDescent="0.25">
      <c r="A49" s="92"/>
      <c r="B49" s="94"/>
      <c r="C49" s="1137" t="str">
        <f>Translations!$B$60</f>
        <v>EU CBAM websites:</v>
      </c>
      <c r="D49" s="144"/>
      <c r="E49" s="144"/>
      <c r="F49" s="1200" t="str">
        <f>HYPERLINK(Translations!$B$61,Translations!$B$61)</f>
        <v>https://taxation-customs.ec.europa.eu/carbon-border-adjustment-mechanism_en</v>
      </c>
      <c r="G49" s="1160"/>
      <c r="H49" s="1160"/>
      <c r="I49" s="1160"/>
      <c r="J49" s="1160"/>
      <c r="K49" s="1160"/>
      <c r="L49" s="1160"/>
      <c r="M49" s="1160"/>
      <c r="N49" s="1160"/>
      <c r="O49" s="428"/>
      <c r="P49" s="144"/>
      <c r="Q49" s="144"/>
      <c r="R49" s="171"/>
      <c r="S49" s="171"/>
      <c r="T49" s="171"/>
      <c r="U49" s="427"/>
    </row>
    <row r="50" spans="1:21" ht="13.15" customHeight="1" x14ac:dyDescent="0.25">
      <c r="A50" s="92"/>
      <c r="B50" s="94"/>
      <c r="C50" s="1137" t="str">
        <f>Translations!$B$62</f>
        <v>EU-Legislation:</v>
      </c>
      <c r="D50" s="144"/>
      <c r="E50" s="144"/>
      <c r="F50" s="1200" t="str">
        <f>HYPERLINK(Translations!$B$63,Translations!$B$63)</f>
        <v>http://eur-lex.europa.eu/en/index.htm</v>
      </c>
      <c r="G50" s="1160"/>
      <c r="H50" s="1160"/>
      <c r="I50" s="1160"/>
      <c r="J50" s="1160"/>
      <c r="K50" s="1160"/>
      <c r="L50" s="1160"/>
      <c r="M50" s="1160"/>
      <c r="N50" s="1160"/>
      <c r="O50" s="428"/>
      <c r="P50" s="144"/>
      <c r="Q50" s="144"/>
      <c r="R50" s="171"/>
      <c r="S50" s="171"/>
      <c r="T50" s="171"/>
      <c r="U50" s="427"/>
    </row>
    <row r="51" spans="1:21" ht="13.15" customHeight="1" thickBot="1" x14ac:dyDescent="0.3">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A2" s="905"/>
      <c r="B2" s="1166" t="str">
        <f>Translations!$B$1438</f>
        <v>Code Lists</v>
      </c>
      <c r="C2" s="1167"/>
      <c r="D2" s="1168"/>
      <c r="E2" s="1175" t="str">
        <f>Translations!$B$11</f>
        <v>Navigation Area:</v>
      </c>
      <c r="F2" s="1176"/>
      <c r="G2" s="1198" t="str">
        <f ca="1">HYPERLINK("#"&amp;ADDRESS(2,3,,,a_Contents!$U$2),a_Contents!$B$2)</f>
        <v>Table of contents</v>
      </c>
      <c r="H2" s="1199"/>
      <c r="I2" s="1198" t="str">
        <f ca="1">HYPERLINK("#"&amp;ADDRESS(2,3,,,G_FurtherGuidance!$U$2),G_FurtherGuidance!$B$2)</f>
        <v>Further Guidance</v>
      </c>
      <c r="J2" s="1199"/>
      <c r="K2" s="1198" t="str">
        <f ca="1">HYPERLINK("#"&amp;ADDRESS(2,3,,,Summary_Processes!$Y$2),Summary_Processes!$Y$2)</f>
        <v>Summary_Processes</v>
      </c>
      <c r="L2" s="1199"/>
      <c r="M2" s="1198" t="str">
        <f ca="1">HYPERLINK("#"&amp;ADDRESS(2,3,,,Summary_Products!$BF$2),Summary_Products!$BF$2)</f>
        <v>Summary_Products</v>
      </c>
      <c r="N2" s="1199"/>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25">
      <c r="A3" s="92"/>
      <c r="B3" s="1169"/>
      <c r="C3" s="1170"/>
      <c r="D3" s="1171"/>
      <c r="E3" s="1165"/>
      <c r="F3" s="1165"/>
      <c r="G3" s="1206" t="str">
        <f>IFERROR(HYPERLINK("#"&amp;ADDRESS(ROW($A$1)+MATCH(R3,$A:$A,0)-1,3),INDEX($R:$R,MATCH(R3,$A:$A,0))),"")</f>
        <v>Countries &amp; Currencies</v>
      </c>
      <c r="H3" s="1206"/>
      <c r="I3" s="1206" t="str">
        <f>IFERROR(HYPERLINK("#"&amp;ADDRESS(ROW($A$1)+MATCH(T3,$A:$A,0)-1,3),INDEX($R:$R,MATCH(T3,$A:$A,0))),"")</f>
        <v>CN Codes</v>
      </c>
      <c r="J3" s="1206"/>
      <c r="K3" s="1206"/>
      <c r="L3" s="1206"/>
      <c r="M3" s="1206"/>
      <c r="N3" s="1206"/>
      <c r="O3" s="428"/>
      <c r="R3" s="302">
        <v>1</v>
      </c>
      <c r="S3" s="303"/>
      <c r="T3" s="303">
        <v>2</v>
      </c>
      <c r="U3" s="303"/>
      <c r="V3" s="303"/>
      <c r="W3" s="303"/>
      <c r="X3" s="304"/>
    </row>
    <row r="4" spans="1:24" ht="14.1" customHeight="1" thickBot="1" x14ac:dyDescent="0.3">
      <c r="A4" s="92"/>
      <c r="B4" s="1172"/>
      <c r="C4" s="1173"/>
      <c r="D4" s="1174"/>
      <c r="E4" s="1165"/>
      <c r="F4" s="1165"/>
      <c r="G4" s="1206"/>
      <c r="H4" s="1206"/>
      <c r="I4" s="1206"/>
      <c r="J4" s="1206"/>
      <c r="K4" s="1206"/>
      <c r="L4" s="1206"/>
      <c r="M4" s="1206"/>
      <c r="N4" s="1206"/>
      <c r="O4" s="428"/>
      <c r="R4" s="307"/>
      <c r="S4" s="308"/>
      <c r="T4" s="308"/>
      <c r="U4" s="308"/>
      <c r="V4" s="308"/>
      <c r="W4" s="308"/>
      <c r="X4" s="309"/>
    </row>
    <row r="5" spans="1:24" ht="5.0999999999999996" customHeight="1" x14ac:dyDescent="0.25">
      <c r="A5" s="92"/>
      <c r="B5" s="144"/>
      <c r="C5" s="144"/>
      <c r="D5" s="144"/>
      <c r="E5" s="144"/>
      <c r="F5" s="144"/>
      <c r="G5" s="144"/>
      <c r="H5" s="144"/>
      <c r="I5" s="144"/>
      <c r="J5" s="144"/>
      <c r="K5" s="144"/>
      <c r="L5" s="144"/>
      <c r="M5" s="144"/>
      <c r="N5" s="144"/>
      <c r="O5" s="428"/>
      <c r="W5" s="104"/>
    </row>
    <row r="6" spans="1:24" ht="25.5" customHeight="1" x14ac:dyDescent="0.25">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25">
      <c r="A7" s="92"/>
      <c r="B7" s="144"/>
      <c r="C7" s="144"/>
      <c r="D7" s="144"/>
      <c r="E7" s="144"/>
      <c r="F7" s="144"/>
      <c r="G7" s="144"/>
      <c r="H7" s="144"/>
      <c r="I7" s="144"/>
      <c r="J7" s="144"/>
      <c r="K7" s="144"/>
      <c r="L7" s="144"/>
      <c r="M7" s="144"/>
      <c r="N7" s="144"/>
      <c r="O7" s="428"/>
      <c r="W7" s="104"/>
    </row>
    <row r="8" spans="1:24" ht="18" customHeight="1" x14ac:dyDescent="0.25">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25">
      <c r="A9" s="92"/>
      <c r="B9" s="144"/>
      <c r="C9" s="144"/>
      <c r="D9" s="10"/>
      <c r="E9" s="10"/>
      <c r="F9" s="10"/>
      <c r="G9" s="10"/>
      <c r="H9" s="10"/>
      <c r="I9" s="10"/>
      <c r="J9" s="10"/>
      <c r="K9" s="10"/>
      <c r="L9" s="10"/>
      <c r="M9" s="10"/>
      <c r="N9" s="10"/>
      <c r="O9" s="428"/>
    </row>
    <row r="10" spans="1:24" ht="12.75" customHeight="1" x14ac:dyDescent="0.25">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25">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25">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25">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25">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25">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25">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25">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25">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25">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25">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25">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25">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25">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25">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25">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25">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25">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25">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25">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25">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25">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25">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25">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25">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25">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25">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25">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25">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25">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25">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25">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25">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25">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25">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25">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25">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25">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25">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25">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25">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25">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25">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25">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25">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25">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25">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25">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25">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25">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25">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25">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25">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25">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25">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25">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25">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25">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25">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25">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25">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25">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25">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25">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25">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25">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25">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25">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25">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25">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25">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25">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25">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25">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25">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25">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25">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25">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25">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25">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25">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25">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25">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25">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25">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25">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25">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25">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25">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25">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25">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25">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25">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25">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25">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25">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25">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25">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25">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25">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25">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25">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25">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25">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25">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25">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25">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25">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25">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25">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25">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25">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25">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25">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25">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25">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25">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25">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25">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25">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25">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25">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25">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25">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25">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25">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25">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25">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25">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25">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25">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25">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25">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25">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25">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25">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25">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25">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25">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25">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25">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25">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25">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25">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25">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25">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25">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25">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25">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25">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25">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25">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25">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25">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25">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25">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25">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25">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25">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25">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25">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25">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25">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25">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25">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25">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25">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25">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25">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25">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25">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25">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25">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25">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25">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25">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25">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25">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25">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25">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25">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25">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25">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25">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25">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25">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25">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25">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25">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25">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25">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25">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25">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25">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25">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25">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25">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25">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25">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25">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25">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25">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25">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25">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25">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25">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25">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25">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25">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25">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25">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25">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25">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25">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25">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25">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25">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25">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25">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25">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25">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25">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25">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25">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25">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25">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25">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25">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25">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25">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25">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25">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25">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25">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25">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25">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25">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25">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25">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25">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25">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25">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25">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25">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25">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25">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25">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25">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25">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25">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25">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25">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25">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25">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25">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25">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25">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25">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25">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25">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25">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25">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25">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25">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25">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25">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25">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25">
      <c r="A277" s="92"/>
      <c r="B277" s="144"/>
      <c r="C277" s="144"/>
      <c r="D277" s="964"/>
      <c r="E277" s="964"/>
      <c r="F277" s="964"/>
      <c r="G277" s="964"/>
      <c r="H277" s="964"/>
      <c r="I277" s="964"/>
      <c r="J277" s="964"/>
      <c r="K277" s="964"/>
      <c r="L277" s="964"/>
      <c r="M277" s="964"/>
      <c r="N277" s="964"/>
      <c r="O277" s="428"/>
      <c r="W277" s="104"/>
    </row>
    <row r="278" spans="1:23" ht="12.75" customHeight="1" x14ac:dyDescent="0.25">
      <c r="A278" s="92"/>
      <c r="B278" s="144"/>
      <c r="C278" s="144"/>
      <c r="D278" s="144"/>
      <c r="E278" s="144"/>
      <c r="F278" s="144"/>
      <c r="G278" s="144"/>
      <c r="H278" s="144"/>
      <c r="I278" s="144"/>
      <c r="J278" s="144"/>
      <c r="K278" s="144"/>
      <c r="L278" s="144"/>
      <c r="M278" s="144"/>
      <c r="N278" s="144"/>
      <c r="O278" s="428"/>
      <c r="W278" s="104"/>
    </row>
    <row r="279" spans="1:23" ht="18" customHeight="1" x14ac:dyDescent="0.25">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
      <c r="A281" s="92"/>
      <c r="B281" s="144"/>
      <c r="C281" s="144"/>
      <c r="D281" s="969"/>
      <c r="E281" s="970"/>
      <c r="F281" s="970"/>
      <c r="G281" s="970"/>
      <c r="H281" s="970"/>
      <c r="I281" s="970"/>
      <c r="J281" s="970"/>
      <c r="K281" s="970"/>
      <c r="L281" s="970"/>
      <c r="M281" s="970"/>
      <c r="N281" s="913"/>
      <c r="O281" s="428"/>
      <c r="S281" s="110"/>
    </row>
    <row r="282" spans="1:23" ht="13.15" customHeight="1" x14ac:dyDescent="0.2">
      <c r="A282" s="92"/>
      <c r="B282" s="144"/>
      <c r="C282" s="948"/>
      <c r="D282" s="950"/>
      <c r="E282" s="1221" t="str">
        <f>Translations!$B$1846</f>
        <v>The list below shows the CN codes and corresponding names of all CBAM goods and the aggregated goods category to which the CN code pertains.</v>
      </c>
      <c r="F282" s="1221"/>
      <c r="G282" s="1221"/>
      <c r="H282" s="1221"/>
      <c r="I282" s="1221"/>
      <c r="J282" s="1221"/>
      <c r="K282" s="1221"/>
      <c r="L282" s="1221"/>
      <c r="M282" s="1221"/>
      <c r="N282" s="1221"/>
      <c r="O282" s="428"/>
    </row>
    <row r="283" spans="1:23" ht="13.15" customHeight="1" x14ac:dyDescent="0.2">
      <c r="A283" s="92"/>
      <c r="B283" s="144"/>
      <c r="C283" s="948"/>
      <c r="D283" s="950"/>
      <c r="E283" s="1221" t="str">
        <f>Translations!$B$1847</f>
        <v xml:space="preserve">CN codes for products that are not listed here do currently not fall under the CBAM. </v>
      </c>
      <c r="F283" s="1221"/>
      <c r="G283" s="1221"/>
      <c r="H283" s="1221"/>
      <c r="I283" s="1221"/>
      <c r="J283" s="1221"/>
      <c r="K283" s="1221"/>
      <c r="L283" s="1221"/>
      <c r="M283" s="1221"/>
      <c r="N283" s="1221"/>
      <c r="O283" s="428"/>
    </row>
    <row r="284" spans="1:23" ht="5.0999999999999996" customHeight="1" x14ac:dyDescent="0.2">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
      <c r="A285" s="92"/>
      <c r="B285" s="144"/>
      <c r="C285" s="144"/>
      <c r="D285" s="914"/>
      <c r="E285" s="915"/>
      <c r="F285" s="915"/>
      <c r="G285" s="915"/>
      <c r="H285" s="915"/>
      <c r="I285" s="915"/>
      <c r="J285" s="915"/>
      <c r="K285" s="915"/>
      <c r="L285" s="915"/>
      <c r="M285" s="915"/>
      <c r="N285" s="144"/>
      <c r="O285" s="428"/>
      <c r="S285" s="110"/>
    </row>
    <row r="286" spans="1:23" ht="12.75" customHeight="1" x14ac:dyDescent="0.25">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
      <c r="A1036" s="918"/>
      <c r="B1036" s="747"/>
      <c r="C1036" s="747"/>
      <c r="D1036" s="747"/>
      <c r="E1036" s="747"/>
      <c r="F1036" s="747"/>
      <c r="G1036" s="747"/>
      <c r="H1036" s="747"/>
      <c r="I1036" s="747"/>
      <c r="J1036" s="747"/>
      <c r="K1036" s="747"/>
      <c r="L1036" s="747"/>
      <c r="M1036" s="747"/>
      <c r="N1036" s="747"/>
      <c r="O1036" s="748"/>
    </row>
    <row r="1037" spans="1:15" ht="12.75" customHeight="1" x14ac:dyDescent="0.25"/>
    <row r="1038" spans="1:15" ht="12.75" customHeight="1" x14ac:dyDescent="0.25"/>
    <row r="1039" spans="1:15" ht="12.75" customHeight="1" x14ac:dyDescent="0.25"/>
    <row r="1040" spans="1:15" ht="12.75" customHeight="1" x14ac:dyDescent="0.25"/>
    <row r="1041" spans="1:17" ht="12.75" hidden="1" customHeight="1" x14ac:dyDescent="0.25">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25">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25">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35" width="11.42578125" style="91" hidden="1" customWidth="1"/>
    <col min="36" max="16384" width="11.42578125" style="93"/>
  </cols>
  <sheetData>
    <row r="1" spans="1:35" s="91" customFormat="1" ht="14.1" hidden="1" customHeight="1" thickBot="1" x14ac:dyDescent="0.3">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
      <c r="A2" s="905"/>
      <c r="B2" s="1166" t="str">
        <f>Translations!$B$64</f>
        <v>InstData</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25">
      <c r="A3" s="92"/>
      <c r="B3" s="1169"/>
      <c r="C3" s="1170"/>
      <c r="D3" s="1171"/>
      <c r="E3" s="1165"/>
      <c r="F3" s="1165"/>
      <c r="G3" s="1261" t="str">
        <f>IFERROR(HYPERLINK("#"&amp;ADDRESS(ROW($A$1)+MATCH(R3,$A:$A,0)-1,3),INDEX($R:$R,MATCH(R3,$A:$A,0))),"")</f>
        <v>Reporting period</v>
      </c>
      <c r="H3" s="1165"/>
      <c r="I3" s="1165" t="str">
        <f>IFERROR(HYPERLINK("#"&amp;ADDRESS(ROW($A$1)+MATCH(T3,$A:$A,0)-1,3),INDEX($R:$R,MATCH(T3,$A:$A,0))),"")</f>
        <v>About the installation</v>
      </c>
      <c r="J3" s="1165"/>
      <c r="K3" s="1165" t="str">
        <f>IFERROR(HYPERLINK("#"&amp;ADDRESS(ROW($A$1)+MATCH(V3,$A:$A,0)-1,3),INDEX($R:$R,MATCH(V3,$A:$A,0))),"")</f>
        <v>Verifier</v>
      </c>
      <c r="L3" s="1165"/>
      <c r="M3" s="1165" t="str">
        <f>IFERROR(HYPERLINK("#"&amp;ADDRESS(ROW($A$1)+MATCH(X3,$A:$A,0)-1,3),INDEX($R:$R,MATCH(X3,$A:$A,0))),"")</f>
        <v>Goods &amp; precursors</v>
      </c>
      <c r="N3" s="1165"/>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
      <c r="A4" s="92"/>
      <c r="B4" s="1172"/>
      <c r="C4" s="1173"/>
      <c r="D4" s="1174"/>
      <c r="E4" s="1165"/>
      <c r="F4" s="1165"/>
      <c r="G4" s="1165" t="str">
        <f>IFERROR(HYPERLINK("#"&amp;ADDRESS(ROW($A$1)+MATCH(R4,$A:$A,0)-1,3),INDEX($R:$R,MATCH(R4,$A:$A,0))),"")</f>
        <v>Purchased precursors</v>
      </c>
      <c r="H4" s="1165"/>
      <c r="I4" s="1165"/>
      <c r="J4" s="1165"/>
      <c r="K4" s="1165"/>
      <c r="L4" s="1165"/>
      <c r="M4" s="1165"/>
      <c r="N4" s="1165"/>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25">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25">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25">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25">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5" customHeight="1" x14ac:dyDescent="0.25">
      <c r="A9" s="919">
        <f>C9</f>
        <v>1</v>
      </c>
      <c r="B9" s="94"/>
      <c r="C9" s="908">
        <v>1</v>
      </c>
      <c r="D9" s="909" t="str">
        <f>Translations!$B$67</f>
        <v>Reporting period</v>
      </c>
      <c r="E9" s="909"/>
      <c r="F9" s="910"/>
      <c r="G9" s="910"/>
      <c r="H9" s="911" t="str">
        <f>Translations!$B$68</f>
        <v>Start:</v>
      </c>
      <c r="I9" s="1262"/>
      <c r="J9" s="1262"/>
      <c r="K9" s="911" t="str">
        <f>Translations!$B$69</f>
        <v>End:</v>
      </c>
      <c r="L9" s="1262"/>
      <c r="M9" s="1262"/>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25">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25">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25">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25">
      <c r="A13" s="92"/>
      <c r="B13" s="94"/>
      <c r="C13" s="144"/>
      <c r="D13" s="913"/>
      <c r="E13" s="1239"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9"/>
      <c r="G13" s="1239"/>
      <c r="H13" s="1239"/>
      <c r="I13" s="1239"/>
      <c r="J13" s="1239"/>
      <c r="K13" s="1239"/>
      <c r="L13" s="1239"/>
      <c r="M13" s="1239"/>
      <c r="N13" s="1239"/>
      <c r="O13" s="428"/>
      <c r="Q13" s="144"/>
      <c r="R13" s="171"/>
      <c r="S13" s="171"/>
      <c r="T13" s="171"/>
      <c r="U13" s="171"/>
      <c r="V13" s="171"/>
      <c r="W13" s="171"/>
      <c r="X13" s="171"/>
      <c r="Y13" s="171"/>
      <c r="Z13" s="171"/>
      <c r="AA13" s="171"/>
      <c r="AB13" s="171"/>
      <c r="AC13" s="171"/>
      <c r="AD13" s="171"/>
      <c r="AE13" s="171"/>
      <c r="AF13" s="171"/>
      <c r="AG13" s="171"/>
      <c r="AH13" s="171"/>
      <c r="AI13" s="427"/>
    </row>
    <row r="14" spans="1:35" ht="25.9" customHeight="1" x14ac:dyDescent="0.25">
      <c r="A14" s="92"/>
      <c r="B14" s="94"/>
      <c r="C14" s="144"/>
      <c r="D14" s="913"/>
      <c r="E14" s="1256" t="str">
        <f>Translations!$B$71</f>
        <v>It is important that all data entered in this template (embedded emissions, carbon price due, product properties, etc.) all relate to that same reporting period entered above.</v>
      </c>
      <c r="F14" s="1256"/>
      <c r="G14" s="1256"/>
      <c r="H14" s="1256"/>
      <c r="I14" s="1256"/>
      <c r="J14" s="1256"/>
      <c r="K14" s="1256"/>
      <c r="L14" s="1256"/>
      <c r="M14" s="1256"/>
      <c r="N14" s="1256"/>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25">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25">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25">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25">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
      <c r="A19" s="92"/>
      <c r="B19" s="94"/>
      <c r="C19" s="144"/>
      <c r="D19" s="11" t="s">
        <v>41</v>
      </c>
      <c r="E19" s="1260" t="str">
        <f>Translations!$B$73</f>
        <v>Name of the installation (optional):</v>
      </c>
      <c r="F19" s="1260"/>
      <c r="G19" s="1260"/>
      <c r="H19" s="1267"/>
      <c r="I19" s="1240"/>
      <c r="J19" s="1241"/>
      <c r="K19" s="1241"/>
      <c r="L19" s="1241"/>
      <c r="M19" s="1241"/>
      <c r="N19" s="1242"/>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
      <c r="A20" s="92"/>
      <c r="B20" s="94"/>
      <c r="C20" s="144"/>
      <c r="D20" s="11" t="s">
        <v>42</v>
      </c>
      <c r="E20" s="1251" t="str">
        <f>Translations!$B$74</f>
        <v>Name of the installation (English name):</v>
      </c>
      <c r="F20" s="1251"/>
      <c r="G20" s="1251"/>
      <c r="H20" s="1252"/>
      <c r="I20" s="1253"/>
      <c r="J20" s="1254"/>
      <c r="K20" s="1254"/>
      <c r="L20" s="1254"/>
      <c r="M20" s="1254"/>
      <c r="N20" s="1255"/>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
      <c r="A21" s="92"/>
      <c r="B21" s="94"/>
      <c r="C21" s="144"/>
      <c r="D21" s="11" t="s">
        <v>43</v>
      </c>
      <c r="E21" s="1243" t="str">
        <f>Translations!$B$75</f>
        <v>Street, Number:</v>
      </c>
      <c r="F21" s="1243"/>
      <c r="G21" s="1243"/>
      <c r="H21" s="1244"/>
      <c r="I21" s="1248"/>
      <c r="J21" s="1249"/>
      <c r="K21" s="1249"/>
      <c r="L21" s="1249"/>
      <c r="M21" s="1249"/>
      <c r="N21" s="1250"/>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
      <c r="A22" s="92"/>
      <c r="B22" s="94"/>
      <c r="C22" s="144"/>
      <c r="D22" s="11" t="s">
        <v>44</v>
      </c>
      <c r="E22" s="1243" t="str">
        <f>Translations!$B$76</f>
        <v>Economic activity:</v>
      </c>
      <c r="F22" s="1243"/>
      <c r="G22" s="1243"/>
      <c r="H22" s="1244"/>
      <c r="I22" s="1245"/>
      <c r="J22" s="1246"/>
      <c r="K22" s="1246"/>
      <c r="L22" s="1246"/>
      <c r="M22" s="1246"/>
      <c r="N22" s="1247"/>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
      <c r="A23" s="92"/>
      <c r="B23" s="94"/>
      <c r="C23" s="144"/>
      <c r="D23" s="11" t="s">
        <v>45</v>
      </c>
      <c r="E23" s="1243" t="str">
        <f>Translations!$B$77</f>
        <v>Post code:</v>
      </c>
      <c r="F23" s="1243"/>
      <c r="G23" s="1243"/>
      <c r="H23" s="1244"/>
      <c r="I23" s="1248"/>
      <c r="J23" s="1249"/>
      <c r="K23" s="1249"/>
      <c r="L23" s="1249"/>
      <c r="M23" s="1249"/>
      <c r="N23" s="1250"/>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
      <c r="A24" s="92"/>
      <c r="B24" s="94"/>
      <c r="C24" s="144"/>
      <c r="D24" s="11" t="s">
        <v>46</v>
      </c>
      <c r="E24" s="1243" t="str">
        <f>Translations!$B$78</f>
        <v>P.O. Box:</v>
      </c>
      <c r="F24" s="1243"/>
      <c r="G24" s="1243"/>
      <c r="H24" s="1244"/>
      <c r="I24" s="1248"/>
      <c r="J24" s="1249"/>
      <c r="K24" s="1249"/>
      <c r="L24" s="1249"/>
      <c r="M24" s="1249"/>
      <c r="N24" s="1250"/>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
      <c r="A25" s="92"/>
      <c r="B25" s="94"/>
      <c r="C25" s="144"/>
      <c r="D25" s="11" t="s">
        <v>47</v>
      </c>
      <c r="E25" s="1243" t="str">
        <f>Translations!$B$79</f>
        <v>City:</v>
      </c>
      <c r="F25" s="1243"/>
      <c r="G25" s="1243"/>
      <c r="H25" s="1244"/>
      <c r="I25" s="1248"/>
      <c r="J25" s="1249"/>
      <c r="K25" s="1249"/>
      <c r="L25" s="1249"/>
      <c r="M25" s="1249"/>
      <c r="N25" s="1250"/>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
      <c r="A26" s="92"/>
      <c r="B26" s="94"/>
      <c r="C26" s="144"/>
      <c r="D26" s="11" t="s">
        <v>234</v>
      </c>
      <c r="E26" s="1243" t="str">
        <f>Translations!$B$80</f>
        <v>Country:</v>
      </c>
      <c r="F26" s="1243"/>
      <c r="G26" s="1243"/>
      <c r="H26" s="1244"/>
      <c r="I26" s="1248"/>
      <c r="J26" s="1249"/>
      <c r="K26" s="1249"/>
      <c r="L26" s="1249"/>
      <c r="M26" s="1249"/>
      <c r="N26" s="1250"/>
      <c r="O26" s="428"/>
      <c r="Q26" s="144"/>
      <c r="R26" s="171"/>
      <c r="S26" s="105" t="str">
        <f>IF(I26="","",INDEX(CNTR_ListCountriesCode,MATCH(I26,CNTR_ListCountriesName,0)))</f>
        <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
      <c r="A27" s="92"/>
      <c r="B27" s="94"/>
      <c r="C27" s="144"/>
      <c r="D27" s="11" t="s">
        <v>235</v>
      </c>
      <c r="E27" s="1243" t="str">
        <f>Translations!$B$81</f>
        <v>UNLOCODE:</v>
      </c>
      <c r="F27" s="1243"/>
      <c r="G27" s="1243"/>
      <c r="H27" s="1244"/>
      <c r="I27" s="1248"/>
      <c r="J27" s="1249"/>
      <c r="K27" s="1249"/>
      <c r="L27" s="1249"/>
      <c r="M27" s="1249"/>
      <c r="N27" s="1250"/>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
      <c r="A28" s="92"/>
      <c r="B28" s="94"/>
      <c r="C28" s="144"/>
      <c r="D28" s="11" t="s">
        <v>2744</v>
      </c>
      <c r="E28" s="1243" t="str">
        <f>Translations!$B$82</f>
        <v>Coordinates of the main emission source (latitude):</v>
      </c>
      <c r="F28" s="1243"/>
      <c r="G28" s="1243"/>
      <c r="H28" s="1244"/>
      <c r="I28" s="1248"/>
      <c r="J28" s="1249"/>
      <c r="K28" s="1249"/>
      <c r="L28" s="1249"/>
      <c r="M28" s="1249"/>
      <c r="N28" s="1250"/>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
      <c r="A29" s="92"/>
      <c r="B29" s="94"/>
      <c r="C29" s="144"/>
      <c r="D29" s="11" t="s">
        <v>2745</v>
      </c>
      <c r="E29" s="1243" t="str">
        <f>Translations!$B$83</f>
        <v>Coordinates of the main emission source (longitude):</v>
      </c>
      <c r="F29" s="1243"/>
      <c r="G29" s="1243"/>
      <c r="H29" s="1244"/>
      <c r="I29" s="1248"/>
      <c r="J29" s="1249"/>
      <c r="K29" s="1249"/>
      <c r="L29" s="1249"/>
      <c r="M29" s="1249"/>
      <c r="N29" s="1250"/>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
      <c r="A30" s="92"/>
      <c r="B30" s="94"/>
      <c r="C30" s="144"/>
      <c r="D30" s="11" t="s">
        <v>2747</v>
      </c>
      <c r="E30" s="1243" t="str">
        <f>Translations!$B$84</f>
        <v>Name of authorized representative:</v>
      </c>
      <c r="F30" s="1243"/>
      <c r="G30" s="1243"/>
      <c r="H30" s="1244"/>
      <c r="I30" s="1245"/>
      <c r="J30" s="1246"/>
      <c r="K30" s="1246"/>
      <c r="L30" s="1246"/>
      <c r="M30" s="1246"/>
      <c r="N30" s="1247"/>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25">
      <c r="A31" s="92"/>
      <c r="B31" s="94"/>
      <c r="C31" s="144"/>
      <c r="D31" s="11" t="s">
        <v>2956</v>
      </c>
      <c r="E31" s="1269" t="str">
        <f>Translations!$B$85</f>
        <v>Email:</v>
      </c>
      <c r="F31" s="1270"/>
      <c r="G31" s="1270"/>
      <c r="H31" s="1271"/>
      <c r="I31" s="1245"/>
      <c r="J31" s="1246"/>
      <c r="K31" s="1246"/>
      <c r="L31" s="1246"/>
      <c r="M31" s="1246"/>
      <c r="N31" s="1247"/>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25">
      <c r="A32" s="92"/>
      <c r="B32" s="94"/>
      <c r="C32" s="144"/>
      <c r="D32" s="11" t="s">
        <v>2965</v>
      </c>
      <c r="E32" s="1272" t="str">
        <f>Translations!$B$86</f>
        <v>Telephone:</v>
      </c>
      <c r="F32" s="1273"/>
      <c r="G32" s="1273"/>
      <c r="H32" s="1274"/>
      <c r="I32" s="1257"/>
      <c r="J32" s="1258"/>
      <c r="K32" s="1258"/>
      <c r="L32" s="1258"/>
      <c r="M32" s="1258"/>
      <c r="N32" s="1259"/>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25">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25">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25">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25">
      <c r="A36" s="92"/>
      <c r="B36" s="94"/>
      <c r="C36" s="144"/>
      <c r="D36" s="10" t="s">
        <v>4</v>
      </c>
      <c r="E36" s="1263" t="str">
        <f>Translations!$B$89</f>
        <v>Name and address of the verifier of this report:</v>
      </c>
      <c r="F36" s="1263"/>
      <c r="G36" s="1263"/>
      <c r="H36" s="1263"/>
      <c r="I36" s="1263"/>
      <c r="J36" s="1263"/>
      <c r="K36" s="1263"/>
      <c r="L36" s="1263"/>
      <c r="M36" s="1263"/>
      <c r="N36" s="1263"/>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
      <c r="A37" s="92"/>
      <c r="B37" s="94"/>
      <c r="C37" s="144"/>
      <c r="D37" s="11" t="s">
        <v>41</v>
      </c>
      <c r="E37" s="1260" t="str">
        <f>Translations!$B$90</f>
        <v>Company Name:</v>
      </c>
      <c r="F37" s="1260"/>
      <c r="G37" s="1260"/>
      <c r="H37" s="1260"/>
      <c r="I37" s="1240"/>
      <c r="J37" s="1241"/>
      <c r="K37" s="1241"/>
      <c r="L37" s="1241"/>
      <c r="M37" s="1241"/>
      <c r="N37" s="1242"/>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
      <c r="A38" s="92"/>
      <c r="B38" s="94"/>
      <c r="C38" s="144"/>
      <c r="D38" s="11" t="s">
        <v>42</v>
      </c>
      <c r="E38" s="1251" t="str">
        <f>Translations!$B$75</f>
        <v>Street, Number:</v>
      </c>
      <c r="F38" s="1251"/>
      <c r="G38" s="1251"/>
      <c r="H38" s="1251"/>
      <c r="I38" s="1245"/>
      <c r="J38" s="1246"/>
      <c r="K38" s="1246"/>
      <c r="L38" s="1246"/>
      <c r="M38" s="1246"/>
      <c r="N38" s="1247"/>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
      <c r="A39" s="92"/>
      <c r="B39" s="94"/>
      <c r="C39" s="144"/>
      <c r="D39" s="11" t="s">
        <v>43</v>
      </c>
      <c r="E39" s="1251" t="str">
        <f>Translations!$B$79</f>
        <v>City:</v>
      </c>
      <c r="F39" s="1251"/>
      <c r="G39" s="1251"/>
      <c r="H39" s="1251"/>
      <c r="I39" s="1245"/>
      <c r="J39" s="1246"/>
      <c r="K39" s="1246"/>
      <c r="L39" s="1246"/>
      <c r="M39" s="1246"/>
      <c r="N39" s="1247"/>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
      <c r="A40" s="92"/>
      <c r="B40" s="94"/>
      <c r="C40" s="144"/>
      <c r="D40" s="11" t="s">
        <v>44</v>
      </c>
      <c r="E40" s="1251" t="str">
        <f>Translations!$B$91</f>
        <v>Postcode/ZIP:</v>
      </c>
      <c r="F40" s="1251"/>
      <c r="G40" s="1251"/>
      <c r="H40" s="1251"/>
      <c r="I40" s="1245"/>
      <c r="J40" s="1246"/>
      <c r="K40" s="1246"/>
      <c r="L40" s="1246"/>
      <c r="M40" s="1246"/>
      <c r="N40" s="1247"/>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
      <c r="A41" s="92"/>
      <c r="B41" s="94"/>
      <c r="C41" s="144"/>
      <c r="D41" s="11" t="s">
        <v>45</v>
      </c>
      <c r="E41" s="1288" t="str">
        <f>Translations!$B$80</f>
        <v>Country:</v>
      </c>
      <c r="F41" s="1288"/>
      <c r="G41" s="1288"/>
      <c r="H41" s="1288"/>
      <c r="I41" s="1257"/>
      <c r="J41" s="1258"/>
      <c r="K41" s="1258"/>
      <c r="L41" s="1258"/>
      <c r="M41" s="1258"/>
      <c r="N41" s="1259"/>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25">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25">
      <c r="A43" s="92"/>
      <c r="B43" s="94"/>
      <c r="C43" s="144"/>
      <c r="D43" s="10" t="s">
        <v>48</v>
      </c>
      <c r="E43" s="1263" t="str">
        <f>Translations!$B$92</f>
        <v>Authorised representative of the verifier:</v>
      </c>
      <c r="F43" s="1263"/>
      <c r="G43" s="1263"/>
      <c r="H43" s="1263"/>
      <c r="I43" s="1263"/>
      <c r="J43" s="1263"/>
      <c r="K43" s="1263"/>
      <c r="L43" s="1263"/>
      <c r="M43" s="1263"/>
      <c r="N43" s="1263"/>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25">
      <c r="A44" s="92"/>
      <c r="B44" s="94"/>
      <c r="C44" s="144"/>
      <c r="D44" s="144"/>
      <c r="E44" s="1268" t="str">
        <f>Translations!$B$93</f>
        <v>The nominated person should be familiar with this report. Ideally it is the lead verifier involved with this report.</v>
      </c>
      <c r="F44" s="1268"/>
      <c r="G44" s="1268"/>
      <c r="H44" s="1268"/>
      <c r="I44" s="1268"/>
      <c r="J44" s="1268"/>
      <c r="K44" s="1268"/>
      <c r="L44" s="1268"/>
      <c r="M44" s="1268"/>
      <c r="N44" s="1268"/>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
      <c r="A45" s="92"/>
      <c r="B45" s="94"/>
      <c r="C45" s="144"/>
      <c r="D45" s="11" t="s">
        <v>41</v>
      </c>
      <c r="E45" s="1260" t="str">
        <f>Translations!$B$94</f>
        <v>Name:</v>
      </c>
      <c r="F45" s="1260"/>
      <c r="G45" s="1260"/>
      <c r="H45" s="1260"/>
      <c r="I45" s="1240"/>
      <c r="J45" s="1241"/>
      <c r="K45" s="1241"/>
      <c r="L45" s="1241"/>
      <c r="M45" s="1241"/>
      <c r="N45" s="1242"/>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
      <c r="A46" s="92"/>
      <c r="B46" s="94"/>
      <c r="C46" s="144"/>
      <c r="D46" s="11" t="s">
        <v>42</v>
      </c>
      <c r="E46" s="1251" t="str">
        <f>Translations!$B$95</f>
        <v>Email address:</v>
      </c>
      <c r="F46" s="1251"/>
      <c r="G46" s="1251"/>
      <c r="H46" s="1251"/>
      <c r="I46" s="1245"/>
      <c r="J46" s="1246"/>
      <c r="K46" s="1246"/>
      <c r="L46" s="1246"/>
      <c r="M46" s="1246"/>
      <c r="N46" s="1247"/>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
      <c r="A47" s="92"/>
      <c r="B47" s="94"/>
      <c r="C47" s="144"/>
      <c r="D47" s="11" t="s">
        <v>43</v>
      </c>
      <c r="E47" s="1251" t="str">
        <f>Translations!$B$96</f>
        <v>Telephone number:</v>
      </c>
      <c r="F47" s="1251"/>
      <c r="G47" s="1251"/>
      <c r="H47" s="1251"/>
      <c r="I47" s="1245"/>
      <c r="J47" s="1246"/>
      <c r="K47" s="1246"/>
      <c r="L47" s="1246"/>
      <c r="M47" s="1246"/>
      <c r="N47" s="1247"/>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
      <c r="A48" s="92"/>
      <c r="B48" s="94"/>
      <c r="C48" s="144"/>
      <c r="D48" s="11" t="s">
        <v>44</v>
      </c>
      <c r="E48" s="1288" t="str">
        <f>Translations!$B$97</f>
        <v>Fax:</v>
      </c>
      <c r="F48" s="1288"/>
      <c r="G48" s="1288"/>
      <c r="H48" s="1288"/>
      <c r="I48" s="1257"/>
      <c r="J48" s="1258"/>
      <c r="K48" s="1258"/>
      <c r="L48" s="1258"/>
      <c r="M48" s="1258"/>
      <c r="N48" s="1259"/>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25">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25">
      <c r="A50" s="92"/>
      <c r="B50" s="94"/>
      <c r="C50" s="144"/>
      <c r="D50" s="10" t="s">
        <v>49</v>
      </c>
      <c r="E50" s="1263" t="str">
        <f>Translations!$B$98</f>
        <v>Information about the verifier's accreditation:</v>
      </c>
      <c r="F50" s="1263"/>
      <c r="G50" s="1263"/>
      <c r="H50" s="1263"/>
      <c r="I50" s="1263"/>
      <c r="J50" s="1263"/>
      <c r="K50" s="1263"/>
      <c r="L50" s="1263"/>
      <c r="M50" s="1263"/>
      <c r="N50" s="1263"/>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
      <c r="A51" s="92"/>
      <c r="B51" s="94"/>
      <c r="C51" s="144"/>
      <c r="D51" s="11" t="s">
        <v>41</v>
      </c>
      <c r="E51" s="1260" t="str">
        <f>Translations!$B$99</f>
        <v>Accreditation Member State:</v>
      </c>
      <c r="F51" s="1260"/>
      <c r="G51" s="1260"/>
      <c r="H51" s="1260"/>
      <c r="I51" s="1240"/>
      <c r="J51" s="1241"/>
      <c r="K51" s="1241"/>
      <c r="L51" s="1241"/>
      <c r="M51" s="1241"/>
      <c r="N51" s="1242"/>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
      <c r="A52" s="92"/>
      <c r="B52" s="94"/>
      <c r="C52" s="144"/>
      <c r="D52" s="11" t="s">
        <v>42</v>
      </c>
      <c r="E52" s="1251" t="str">
        <f>Translations!$B$100</f>
        <v>Name of the national accreditation body:</v>
      </c>
      <c r="F52" s="1251"/>
      <c r="G52" s="1251"/>
      <c r="H52" s="1251"/>
      <c r="I52" s="1245"/>
      <c r="J52" s="1246"/>
      <c r="K52" s="1246"/>
      <c r="L52" s="1246"/>
      <c r="M52" s="1246"/>
      <c r="N52" s="1247"/>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
      <c r="A53" s="92"/>
      <c r="B53" s="94"/>
      <c r="C53" s="144"/>
      <c r="D53" s="11" t="s">
        <v>43</v>
      </c>
      <c r="E53" s="1288" t="str">
        <f>Translations!$B$101</f>
        <v>Registration number issued by the Accreditation body:</v>
      </c>
      <c r="F53" s="1288"/>
      <c r="G53" s="1288"/>
      <c r="H53" s="1288"/>
      <c r="I53" s="1257"/>
      <c r="J53" s="1258"/>
      <c r="K53" s="1258"/>
      <c r="L53" s="1258"/>
      <c r="M53" s="1258"/>
      <c r="N53" s="1259"/>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25">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25">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25">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25">
      <c r="A57" s="92"/>
      <c r="B57" s="94"/>
      <c r="C57" s="144"/>
      <c r="D57" s="10" t="s">
        <v>4</v>
      </c>
      <c r="E57" s="1263" t="str">
        <f>Translations!$B$104</f>
        <v>List of aggregated goods categories, relevant precursors and corresponding production routes</v>
      </c>
      <c r="F57" s="1263"/>
      <c r="G57" s="1263"/>
      <c r="H57" s="1263"/>
      <c r="I57" s="1263"/>
      <c r="J57" s="1263"/>
      <c r="K57" s="1263"/>
      <c r="L57" s="1263"/>
      <c r="M57" s="1263"/>
      <c r="N57" s="1263"/>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
      <c r="A58" s="92"/>
      <c r="B58" s="94"/>
      <c r="C58" s="144"/>
      <c r="D58" s="144"/>
      <c r="E58" s="1230" t="str">
        <f>Translations!$B$105</f>
        <v>Please list here ALL aggregated goods categories, including any relevant precursor types produced WITHIN the installation.</v>
      </c>
      <c r="F58" s="1230"/>
      <c r="G58" s="1230"/>
      <c r="H58" s="1230"/>
      <c r="I58" s="1230"/>
      <c r="J58" s="1230"/>
      <c r="K58" s="1230"/>
      <c r="L58" s="1230"/>
      <c r="M58" s="1230"/>
      <c r="N58" s="1230"/>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
      <c r="A59" s="92"/>
      <c r="B59" s="94"/>
      <c r="C59" s="144"/>
      <c r="D59" s="144"/>
      <c r="E59" s="1230" t="str">
        <f>Translations!$B$106</f>
        <v>Where relevant, please list all production routes through which the aggregated goods are produced.</v>
      </c>
      <c r="F59" s="1230"/>
      <c r="G59" s="1230"/>
      <c r="H59" s="1230"/>
      <c r="I59" s="1230"/>
      <c r="J59" s="1230"/>
      <c r="K59" s="1230"/>
      <c r="L59" s="1230"/>
      <c r="M59" s="1230"/>
      <c r="N59" s="1230"/>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
      <c r="A61" s="92"/>
      <c r="B61" s="94"/>
      <c r="C61" s="144"/>
      <c r="D61" s="112" t="s">
        <v>126</v>
      </c>
      <c r="E61" s="1231" t="str">
        <f>Translations!$B$107</f>
        <v>Aggregated goods category</v>
      </c>
      <c r="F61" s="1231"/>
      <c r="G61" s="1177" t="str">
        <f>Translations!$B$108</f>
        <v>Route</v>
      </c>
      <c r="H61" s="1235"/>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
      <c r="A62" s="92"/>
      <c r="B62" s="94"/>
      <c r="C62" s="144"/>
      <c r="D62" s="134" t="s">
        <v>127</v>
      </c>
      <c r="E62" s="1236"/>
      <c r="F62" s="1236"/>
      <c r="G62" s="1232" t="str">
        <f t="shared" ref="G62:G71" si="0">IF(E62="","",IF(COUNTIF(INDEX(CONST_MATRIX_ProductionRoute,MATCH(E62,CONST_LIST_Goods,0),),CONST_NA)=9,CONST_AllProdRoutes,CONST_PleaseSelect))</f>
        <v/>
      </c>
      <c r="H62" s="1232"/>
      <c r="I62" s="528"/>
      <c r="J62" s="882"/>
      <c r="K62" s="445"/>
      <c r="L62" s="445"/>
      <c r="M62" s="445"/>
      <c r="N62" s="882"/>
      <c r="O62" s="428"/>
      <c r="Q62" s="144"/>
      <c r="R62" s="928" t="s">
        <v>308</v>
      </c>
      <c r="S62" s="114" t="str">
        <f t="shared" ref="S62:S67" si="1">IF(E62="",CONST_NA,E62)</f>
        <v>n.a.</v>
      </c>
      <c r="T62" s="102" t="str">
        <f t="shared" ref="T62:T71" si="2">IF(E62="","",INDEX(CONST_LIST_GoodsProdRouteAdd,MATCH(E62,CONST_LIST_Goods,0)))</f>
        <v/>
      </c>
      <c r="U62" s="171"/>
      <c r="V62" s="925"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str">
        <f t="shared" ref="AE62:AE71" si="6">IF(E62="","",COUNTIF($E$83:$K$92,E62)=0)</f>
        <v/>
      </c>
      <c r="AF62" s="171"/>
      <c r="AG62" s="102" t="str">
        <f>IF(AND(CNTR_HasEntriesA,COUNTA(E62:F71)=0),CONST_ErrorOrMissing&amp;A55,CONST_NA)</f>
        <v>n.a.</v>
      </c>
      <c r="AH62" s="116" t="str">
        <f>IF(E62="","",INDEX(Parameters_Constants!$BN$89:$BN$106,MATCH(E62,CONST_LIST_Goods,0)))</f>
        <v/>
      </c>
      <c r="AI62" s="929" t="b">
        <f t="shared" ref="AI62:AI67" si="7">OR(AND(CNTR_HasEntriesA,E62=""),AND(E62&lt;&gt;"",G62=CONST_AllProdRoutes))</f>
        <v>0</v>
      </c>
    </row>
    <row r="63" spans="1:35" ht="12.75" customHeight="1" x14ac:dyDescent="0.2">
      <c r="A63" s="92"/>
      <c r="B63" s="94"/>
      <c r="C63" s="144"/>
      <c r="D63" s="607" t="s">
        <v>127</v>
      </c>
      <c r="E63" s="1237"/>
      <c r="F63" s="1238"/>
      <c r="G63" s="1233" t="str">
        <f t="shared" si="0"/>
        <v/>
      </c>
      <c r="H63" s="1234"/>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0</v>
      </c>
    </row>
    <row r="64" spans="1:35" ht="12.75" customHeight="1" x14ac:dyDescent="0.2">
      <c r="A64" s="92"/>
      <c r="B64" s="94"/>
      <c r="C64" s="144"/>
      <c r="D64" s="607" t="s">
        <v>130</v>
      </c>
      <c r="E64" s="1237"/>
      <c r="F64" s="1238"/>
      <c r="G64" s="1233" t="str">
        <f t="shared" si="0"/>
        <v/>
      </c>
      <c r="H64" s="1234"/>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0</v>
      </c>
    </row>
    <row r="65" spans="1:35" ht="12.75" customHeight="1" x14ac:dyDescent="0.2">
      <c r="A65" s="92"/>
      <c r="B65" s="94"/>
      <c r="C65" s="144"/>
      <c r="D65" s="607" t="s">
        <v>192</v>
      </c>
      <c r="E65" s="1237"/>
      <c r="F65" s="1237"/>
      <c r="G65" s="1233" t="str">
        <f t="shared" si="0"/>
        <v/>
      </c>
      <c r="H65" s="1234"/>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0</v>
      </c>
    </row>
    <row r="66" spans="1:35" ht="12.75" customHeight="1" x14ac:dyDescent="0.2">
      <c r="A66" s="92"/>
      <c r="B66" s="94"/>
      <c r="C66" s="144"/>
      <c r="D66" s="607" t="s">
        <v>193</v>
      </c>
      <c r="E66" s="1237"/>
      <c r="F66" s="1238"/>
      <c r="G66" s="1233" t="str">
        <f t="shared" si="0"/>
        <v/>
      </c>
      <c r="H66" s="1234"/>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0</v>
      </c>
    </row>
    <row r="67" spans="1:35" ht="12.75" customHeight="1" x14ac:dyDescent="0.2">
      <c r="A67" s="92"/>
      <c r="B67" s="94"/>
      <c r="C67" s="144"/>
      <c r="D67" s="607" t="s">
        <v>194</v>
      </c>
      <c r="E67" s="1237"/>
      <c r="F67" s="1238"/>
      <c r="G67" s="1233" t="str">
        <f t="shared" si="0"/>
        <v/>
      </c>
      <c r="H67" s="1234"/>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0</v>
      </c>
    </row>
    <row r="68" spans="1:35" ht="12.75" customHeight="1" x14ac:dyDescent="0.2">
      <c r="A68" s="92"/>
      <c r="B68" s="94"/>
      <c r="C68" s="144"/>
      <c r="D68" s="607" t="s">
        <v>2735</v>
      </c>
      <c r="E68" s="1237"/>
      <c r="F68" s="1238"/>
      <c r="G68" s="1233" t="str">
        <f t="shared" si="0"/>
        <v/>
      </c>
      <c r="H68" s="1234"/>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0</v>
      </c>
    </row>
    <row r="69" spans="1:35" ht="12.75" customHeight="1" x14ac:dyDescent="0.2">
      <c r="A69" s="92"/>
      <c r="B69" s="94"/>
      <c r="C69" s="144"/>
      <c r="D69" s="607" t="s">
        <v>2736</v>
      </c>
      <c r="E69" s="1237"/>
      <c r="F69" s="1238"/>
      <c r="G69" s="1233" t="str">
        <f t="shared" si="0"/>
        <v/>
      </c>
      <c r="H69" s="1234"/>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0</v>
      </c>
    </row>
    <row r="70" spans="1:35" ht="12.75" customHeight="1" x14ac:dyDescent="0.2">
      <c r="A70" s="92"/>
      <c r="B70" s="94"/>
      <c r="C70" s="144"/>
      <c r="D70" s="607" t="s">
        <v>2737</v>
      </c>
      <c r="E70" s="1237"/>
      <c r="F70" s="1238"/>
      <c r="G70" s="1233" t="str">
        <f t="shared" si="0"/>
        <v/>
      </c>
      <c r="H70" s="1234"/>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0</v>
      </c>
    </row>
    <row r="71" spans="1:35" ht="12.75" customHeight="1" x14ac:dyDescent="0.2">
      <c r="A71" s="92"/>
      <c r="B71" s="94"/>
      <c r="C71" s="144"/>
      <c r="D71" s="137" t="s">
        <v>2738</v>
      </c>
      <c r="E71" s="1275"/>
      <c r="F71" s="1276"/>
      <c r="G71" s="1277" t="str">
        <f t="shared" si="0"/>
        <v/>
      </c>
      <c r="H71" s="1278"/>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0</v>
      </c>
    </row>
    <row r="72" spans="1:35" ht="5.0999999999999996" customHeight="1" x14ac:dyDescent="0.2">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
      <c r="A73" s="92"/>
      <c r="B73" s="94"/>
      <c r="C73" s="144"/>
      <c r="D73" s="914"/>
      <c r="E73" s="1230"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30"/>
      <c r="G73" s="1230"/>
      <c r="H73" s="1230"/>
      <c r="I73" s="1230"/>
      <c r="J73" s="1230"/>
      <c r="K73" s="1230"/>
      <c r="L73" s="1230"/>
      <c r="M73" s="1230"/>
      <c r="N73" s="1230"/>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
      <c r="A74" s="92"/>
      <c r="B74" s="94"/>
      <c r="C74" s="144"/>
      <c r="D74" s="914"/>
      <c r="E74" s="916" t="str">
        <f>Translations!$B$116</f>
        <v>Relevant precursors:</v>
      </c>
      <c r="F74" s="144"/>
      <c r="G74" s="606" t="str">
        <f>IF(COUNTIF(CONST_CNTR_PrecNumbering,COLUMNS($G74:G74))=0,"",INDEX(CONST_LIST_Goods,MATCH(COLUMNS($G74:G74),CONST_CNTR_PrecNumbering,0)))</f>
        <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25">
      <c r="A77" s="92"/>
      <c r="B77" s="94"/>
      <c r="C77" s="144"/>
      <c r="D77" s="10" t="s">
        <v>48</v>
      </c>
      <c r="E77" s="1263" t="str">
        <f>Translations!$B$117</f>
        <v>Relevant production processes</v>
      </c>
      <c r="F77" s="1263"/>
      <c r="G77" s="1263"/>
      <c r="H77" s="1263"/>
      <c r="I77" s="1263"/>
      <c r="J77" s="1263"/>
      <c r="K77" s="1263"/>
      <c r="L77" s="1263"/>
      <c r="M77" s="1263"/>
      <c r="N77" s="1263"/>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
      <c r="A78" s="92"/>
      <c r="B78" s="94"/>
      <c r="C78" s="144"/>
      <c r="D78" s="168"/>
      <c r="E78" s="1230"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30"/>
      <c r="G78" s="1230"/>
      <c r="H78" s="1230"/>
      <c r="I78" s="1230"/>
      <c r="J78" s="1230"/>
      <c r="K78" s="1230"/>
      <c r="L78" s="1230"/>
      <c r="M78" s="1230"/>
      <c r="N78" s="1230"/>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
      <c r="A79" s="92"/>
      <c r="B79" s="94"/>
      <c r="C79" s="144"/>
      <c r="D79" s="168"/>
      <c r="E79" s="1264"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4"/>
      <c r="G79" s="1264"/>
      <c r="H79" s="1264"/>
      <c r="I79" s="1264"/>
      <c r="J79" s="1264"/>
      <c r="K79" s="1264"/>
      <c r="L79" s="1264"/>
      <c r="M79" s="1264"/>
      <c r="N79" s="1264"/>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
      <c r="A81" s="92"/>
      <c r="B81" s="94"/>
      <c r="C81" s="144"/>
      <c r="D81" s="1222" t="s">
        <v>126</v>
      </c>
      <c r="E81" s="1286" t="str">
        <f>Translations!$B$107</f>
        <v>Aggregated goods category</v>
      </c>
      <c r="F81" s="1279" t="str">
        <f>Translations!$B$121</f>
        <v>Included goods categories listed under (a)</v>
      </c>
      <c r="G81" s="1280"/>
      <c r="H81" s="1280"/>
      <c r="I81" s="1280"/>
      <c r="J81" s="1280"/>
      <c r="K81" s="1281"/>
      <c r="L81" s="1282" t="str">
        <f>Translations!$B$122</f>
        <v>Name</v>
      </c>
      <c r="M81" s="1283"/>
      <c r="N81" s="1286"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
      <c r="A82" s="92"/>
      <c r="B82" s="94"/>
      <c r="C82" s="144"/>
      <c r="D82" s="1223"/>
      <c r="E82" s="1287"/>
      <c r="F82" s="113">
        <v>1</v>
      </c>
      <c r="G82" s="113">
        <v>2</v>
      </c>
      <c r="H82" s="113">
        <v>3</v>
      </c>
      <c r="I82" s="113">
        <v>4</v>
      </c>
      <c r="J82" s="113">
        <v>5</v>
      </c>
      <c r="K82" s="113">
        <v>6</v>
      </c>
      <c r="L82" s="1284"/>
      <c r="M82" s="1285"/>
      <c r="N82" s="1287"/>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
      <c r="A83" s="92"/>
      <c r="B83" s="94"/>
      <c r="C83" s="144"/>
      <c r="D83" s="134" t="s">
        <v>128</v>
      </c>
      <c r="E83" s="608"/>
      <c r="F83" s="528"/>
      <c r="G83" s="882"/>
      <c r="H83" s="882"/>
      <c r="I83" s="882"/>
      <c r="J83" s="882"/>
      <c r="K83" s="882"/>
      <c r="L83" s="1226"/>
      <c r="M83" s="1227"/>
      <c r="N83" s="988" t="str">
        <f>IF(E83="","",IF(OR(L83="",AND(AF83=FALSE,COUNTA(F83:K83)=0)),CONST_ERR_Incomplete,IF(COUNTIF(L$83:M83,L83)&gt;1,CONST_ERR_Duplicate,IF(COUNTIF(X83:AC83,NA())&gt;0,CONST_ERR_Inconsistent,""))))</f>
        <v/>
      </c>
      <c r="O83" s="428"/>
      <c r="Q83" s="144"/>
      <c r="R83" s="928"/>
      <c r="S83" s="114" t="str">
        <f t="shared" ref="S83:S92" si="9">IF(E83="",CONST_NA,E83)</f>
        <v>n.a.</v>
      </c>
      <c r="T83" s="102" t="str">
        <f t="shared" ref="T83:T92" si="10">IF(E83="",CONST_NA,IF(L83="",D83 &amp; " - " &amp; E83,L83))</f>
        <v>n.a.</v>
      </c>
      <c r="U83" s="171"/>
      <c r="V83" s="925" t="str">
        <f>D83</f>
        <v>P1</v>
      </c>
      <c r="W83" s="105" t="str">
        <f t="shared" ref="W83:W92" si="11">IF(E83="","",MATCH(E83,CONST_LIST_Goods,0))</f>
        <v/>
      </c>
      <c r="X83" s="105" t="str">
        <f>IF(F83="","",$W83&amp;"_"&amp;IF(F83=$S$61,0,MATCH(F83,INDEX(Parameters_Constants!$AC$89:$AM$106,$W83,),0)))</f>
        <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
      <c r="A84" s="92"/>
      <c r="B84" s="94"/>
      <c r="C84" s="144"/>
      <c r="D84" s="607" t="s">
        <v>129</v>
      </c>
      <c r="E84" s="609"/>
      <c r="F84" s="540"/>
      <c r="G84" s="883"/>
      <c r="H84" s="883"/>
      <c r="I84" s="883"/>
      <c r="J84" s="883"/>
      <c r="K84" s="883"/>
      <c r="L84" s="1228"/>
      <c r="M84" s="1229"/>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0</v>
      </c>
    </row>
    <row r="85" spans="1:35" ht="12.75" customHeight="1" x14ac:dyDescent="0.2">
      <c r="A85" s="92"/>
      <c r="B85" s="94"/>
      <c r="C85" s="144"/>
      <c r="D85" s="607" t="s">
        <v>4210</v>
      </c>
      <c r="E85" s="609"/>
      <c r="F85" s="540"/>
      <c r="G85" s="883"/>
      <c r="H85" s="883"/>
      <c r="I85" s="883"/>
      <c r="J85" s="883"/>
      <c r="K85" s="883"/>
      <c r="L85" s="1228"/>
      <c r="M85" s="1229"/>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0</v>
      </c>
    </row>
    <row r="86" spans="1:35" ht="12.75" customHeight="1" x14ac:dyDescent="0.2">
      <c r="A86" s="92"/>
      <c r="B86" s="94"/>
      <c r="C86" s="144"/>
      <c r="D86" s="607" t="s">
        <v>223</v>
      </c>
      <c r="E86" s="609"/>
      <c r="F86" s="540"/>
      <c r="G86" s="883"/>
      <c r="H86" s="883"/>
      <c r="I86" s="883"/>
      <c r="J86" s="883"/>
      <c r="K86" s="883"/>
      <c r="L86" s="1228"/>
      <c r="M86" s="1229"/>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0</v>
      </c>
    </row>
    <row r="87" spans="1:35" ht="12.75" customHeight="1" x14ac:dyDescent="0.2">
      <c r="A87" s="92"/>
      <c r="B87" s="94"/>
      <c r="C87" s="144"/>
      <c r="D87" s="607" t="s">
        <v>224</v>
      </c>
      <c r="E87" s="609"/>
      <c r="F87" s="540"/>
      <c r="G87" s="883"/>
      <c r="H87" s="883"/>
      <c r="I87" s="883"/>
      <c r="J87" s="883"/>
      <c r="K87" s="883"/>
      <c r="L87" s="1228"/>
      <c r="M87" s="1229"/>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0</v>
      </c>
    </row>
    <row r="88" spans="1:35" ht="12.75" customHeight="1" x14ac:dyDescent="0.2">
      <c r="A88" s="92"/>
      <c r="B88" s="94"/>
      <c r="C88" s="144"/>
      <c r="D88" s="607" t="s">
        <v>225</v>
      </c>
      <c r="E88" s="609"/>
      <c r="F88" s="540"/>
      <c r="G88" s="883"/>
      <c r="H88" s="883"/>
      <c r="I88" s="883"/>
      <c r="J88" s="883"/>
      <c r="K88" s="883"/>
      <c r="L88" s="1228"/>
      <c r="M88" s="1229"/>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0</v>
      </c>
    </row>
    <row r="89" spans="1:35" ht="12.75" customHeight="1" x14ac:dyDescent="0.2">
      <c r="A89" s="92"/>
      <c r="B89" s="94"/>
      <c r="C89" s="144"/>
      <c r="D89" s="607" t="s">
        <v>226</v>
      </c>
      <c r="E89" s="609"/>
      <c r="F89" s="540"/>
      <c r="G89" s="883"/>
      <c r="H89" s="883"/>
      <c r="I89" s="883"/>
      <c r="J89" s="883"/>
      <c r="K89" s="883"/>
      <c r="L89" s="1228"/>
      <c r="M89" s="1229"/>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0</v>
      </c>
    </row>
    <row r="90" spans="1:35" ht="12.75" customHeight="1" x14ac:dyDescent="0.2">
      <c r="A90" s="92"/>
      <c r="B90" s="94"/>
      <c r="C90" s="144"/>
      <c r="D90" s="607" t="s">
        <v>227</v>
      </c>
      <c r="E90" s="609"/>
      <c r="F90" s="540"/>
      <c r="G90" s="883"/>
      <c r="H90" s="883"/>
      <c r="I90" s="883"/>
      <c r="J90" s="883"/>
      <c r="K90" s="883"/>
      <c r="L90" s="1228"/>
      <c r="M90" s="1229"/>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0</v>
      </c>
    </row>
    <row r="91" spans="1:35" ht="12.75" customHeight="1" x14ac:dyDescent="0.2">
      <c r="A91" s="92"/>
      <c r="B91" s="94"/>
      <c r="C91" s="144"/>
      <c r="D91" s="607" t="s">
        <v>228</v>
      </c>
      <c r="E91" s="609"/>
      <c r="F91" s="540"/>
      <c r="G91" s="883"/>
      <c r="H91" s="883"/>
      <c r="I91" s="883"/>
      <c r="J91" s="883"/>
      <c r="K91" s="883"/>
      <c r="L91" s="1228"/>
      <c r="M91" s="1229"/>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0</v>
      </c>
    </row>
    <row r="92" spans="1:35" ht="12.75" customHeight="1" x14ac:dyDescent="0.2">
      <c r="A92" s="92"/>
      <c r="B92" s="94"/>
      <c r="C92" s="144"/>
      <c r="D92" s="137" t="s">
        <v>229</v>
      </c>
      <c r="E92" s="610"/>
      <c r="F92" s="552"/>
      <c r="G92" s="884"/>
      <c r="H92" s="884"/>
      <c r="I92" s="884"/>
      <c r="J92" s="884"/>
      <c r="K92" s="884"/>
      <c r="L92" s="1224"/>
      <c r="M92" s="1225"/>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0</v>
      </c>
    </row>
    <row r="93" spans="1:35" ht="5.0999999999999996" customHeight="1" x14ac:dyDescent="0.2">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
      <c r="A94" s="92"/>
      <c r="B94" s="94"/>
      <c r="C94" s="144"/>
      <c r="D94" s="914"/>
      <c r="E94" s="915"/>
      <c r="F94" s="915"/>
      <c r="G94" s="917" t="str">
        <f>Translations!$B$1956</f>
        <v>Completeness check:</v>
      </c>
      <c r="H94" s="1265" t="str">
        <f>IF(COUNTIF(AE62:AE71,TRUE)&gt;0,CONST_MsgMissingProdProc,"")</f>
        <v/>
      </c>
      <c r="I94" s="1265"/>
      <c r="J94" s="1265"/>
      <c r="K94" s="1265"/>
      <c r="L94" s="1265"/>
      <c r="M94" s="1265"/>
      <c r="N94" s="1265"/>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25">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
      <c r="A98" s="92"/>
      <c r="B98" s="94"/>
      <c r="C98" s="144"/>
      <c r="D98" s="914"/>
      <c r="E98" s="1230" t="str">
        <f>Translations!$B$125</f>
        <v>Please list here all precursors that are produced OUTSIDE the installation (e.g. purchased) and consumed within the installation.</v>
      </c>
      <c r="F98" s="1230"/>
      <c r="G98" s="1230"/>
      <c r="H98" s="1230"/>
      <c r="I98" s="1230"/>
      <c r="J98" s="1230"/>
      <c r="K98" s="1230"/>
      <c r="L98" s="1230"/>
      <c r="M98" s="1230"/>
      <c r="N98" s="1230"/>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
      <c r="A99" s="92"/>
      <c r="B99" s="94"/>
      <c r="C99" s="144"/>
      <c r="D99" s="914"/>
      <c r="E99" s="1230" t="str">
        <f>Translations!$B$126</f>
        <v>Please also list the country in which the relevant precursor was produced (see sheet "c_CodeLists" to find the correct country codes) and the relevant production routes, if known.</v>
      </c>
      <c r="F99" s="1230"/>
      <c r="G99" s="1230"/>
      <c r="H99" s="1230"/>
      <c r="I99" s="1230"/>
      <c r="J99" s="1230"/>
      <c r="K99" s="1230"/>
      <c r="L99" s="1230"/>
      <c r="M99" s="1230"/>
      <c r="N99" s="1230"/>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6" t="str">
        <f>Translations!$B$122</f>
        <v>Name</v>
      </c>
      <c r="M101" s="1266"/>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
      <c r="A102" s="92"/>
      <c r="B102" s="94"/>
      <c r="C102" s="144"/>
      <c r="D102" s="812" t="s">
        <v>315</v>
      </c>
      <c r="E102" s="608"/>
      <c r="F102" s="611"/>
      <c r="G102" s="843"/>
      <c r="H102" s="879"/>
      <c r="I102" s="879"/>
      <c r="J102" s="879"/>
      <c r="K102" s="879"/>
      <c r="L102" s="1226"/>
      <c r="M102" s="1227"/>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0</v>
      </c>
    </row>
    <row r="103" spans="1:35" ht="12.75" customHeight="1" x14ac:dyDescent="0.2">
      <c r="A103" s="92"/>
      <c r="B103" s="94"/>
      <c r="C103" s="144"/>
      <c r="D103" s="813" t="s">
        <v>316</v>
      </c>
      <c r="E103" s="609"/>
      <c r="F103" s="612"/>
      <c r="G103" s="839"/>
      <c r="H103" s="880"/>
      <c r="I103" s="880"/>
      <c r="J103" s="880"/>
      <c r="K103" s="880"/>
      <c r="L103" s="1228"/>
      <c r="M103" s="1229"/>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0</v>
      </c>
    </row>
    <row r="104" spans="1:35" ht="12.75" customHeight="1" x14ac:dyDescent="0.2">
      <c r="A104" s="92"/>
      <c r="B104" s="94"/>
      <c r="C104" s="144"/>
      <c r="D104" s="813" t="s">
        <v>317</v>
      </c>
      <c r="E104" s="609"/>
      <c r="F104" s="612"/>
      <c r="G104" s="839"/>
      <c r="H104" s="880"/>
      <c r="I104" s="880"/>
      <c r="J104" s="880"/>
      <c r="K104" s="880"/>
      <c r="L104" s="1228"/>
      <c r="M104" s="1229"/>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0</v>
      </c>
    </row>
    <row r="105" spans="1:35" ht="12.75" customHeight="1" x14ac:dyDescent="0.2">
      <c r="A105" s="92"/>
      <c r="B105" s="94"/>
      <c r="C105" s="144"/>
      <c r="D105" s="813" t="s">
        <v>318</v>
      </c>
      <c r="E105" s="609"/>
      <c r="F105" s="612"/>
      <c r="G105" s="839"/>
      <c r="H105" s="880"/>
      <c r="I105" s="880"/>
      <c r="J105" s="880"/>
      <c r="K105" s="880"/>
      <c r="L105" s="1228"/>
      <c r="M105" s="1229"/>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0</v>
      </c>
    </row>
    <row r="106" spans="1:35" ht="12.75" customHeight="1" x14ac:dyDescent="0.2">
      <c r="A106" s="92"/>
      <c r="B106" s="94"/>
      <c r="C106" s="144"/>
      <c r="D106" s="813" t="s">
        <v>319</v>
      </c>
      <c r="E106" s="609"/>
      <c r="F106" s="612"/>
      <c r="G106" s="839"/>
      <c r="H106" s="880"/>
      <c r="I106" s="880"/>
      <c r="J106" s="880"/>
      <c r="K106" s="880"/>
      <c r="L106" s="1228"/>
      <c r="M106" s="1229"/>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0</v>
      </c>
    </row>
    <row r="107" spans="1:35" ht="12.75" customHeight="1" x14ac:dyDescent="0.2">
      <c r="A107" s="92"/>
      <c r="B107" s="94"/>
      <c r="C107" s="144"/>
      <c r="D107" s="813" t="s">
        <v>320</v>
      </c>
      <c r="E107" s="609"/>
      <c r="F107" s="612"/>
      <c r="G107" s="839"/>
      <c r="H107" s="880"/>
      <c r="I107" s="880"/>
      <c r="J107" s="880"/>
      <c r="K107" s="880"/>
      <c r="L107" s="1228"/>
      <c r="M107" s="1229"/>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0</v>
      </c>
    </row>
    <row r="108" spans="1:35" ht="12.75" customHeight="1" x14ac:dyDescent="0.2">
      <c r="A108" s="92"/>
      <c r="B108" s="94"/>
      <c r="C108" s="144"/>
      <c r="D108" s="813" t="s">
        <v>321</v>
      </c>
      <c r="E108" s="609"/>
      <c r="F108" s="612"/>
      <c r="G108" s="839"/>
      <c r="H108" s="880"/>
      <c r="I108" s="880"/>
      <c r="J108" s="880"/>
      <c r="K108" s="880"/>
      <c r="L108" s="1228"/>
      <c r="M108" s="1229"/>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0</v>
      </c>
    </row>
    <row r="109" spans="1:35" ht="12.75" customHeight="1" x14ac:dyDescent="0.2">
      <c r="A109" s="92"/>
      <c r="B109" s="94"/>
      <c r="C109" s="144"/>
      <c r="D109" s="813" t="s">
        <v>322</v>
      </c>
      <c r="E109" s="609"/>
      <c r="F109" s="612"/>
      <c r="G109" s="839"/>
      <c r="H109" s="880"/>
      <c r="I109" s="880"/>
      <c r="J109" s="880"/>
      <c r="K109" s="880"/>
      <c r="L109" s="1228"/>
      <c r="M109" s="1229"/>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0</v>
      </c>
    </row>
    <row r="110" spans="1:35" ht="12.75" customHeight="1" x14ac:dyDescent="0.2">
      <c r="A110" s="92"/>
      <c r="B110" s="94"/>
      <c r="C110" s="144"/>
      <c r="D110" s="813" t="s">
        <v>323</v>
      </c>
      <c r="E110" s="609"/>
      <c r="F110" s="612"/>
      <c r="G110" s="839"/>
      <c r="H110" s="880"/>
      <c r="I110" s="880"/>
      <c r="J110" s="880"/>
      <c r="K110" s="880"/>
      <c r="L110" s="1228"/>
      <c r="M110" s="1229"/>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0</v>
      </c>
    </row>
    <row r="111" spans="1:35" ht="12.75" customHeight="1" x14ac:dyDescent="0.2">
      <c r="A111" s="92"/>
      <c r="B111" s="94"/>
      <c r="C111" s="144"/>
      <c r="D111" s="813" t="s">
        <v>324</v>
      </c>
      <c r="E111" s="609"/>
      <c r="F111" s="612"/>
      <c r="G111" s="839"/>
      <c r="H111" s="880"/>
      <c r="I111" s="880"/>
      <c r="J111" s="880"/>
      <c r="K111" s="880"/>
      <c r="L111" s="1228"/>
      <c r="M111" s="1229"/>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0</v>
      </c>
    </row>
    <row r="112" spans="1:35" ht="12.75" customHeight="1" x14ac:dyDescent="0.2">
      <c r="A112" s="92"/>
      <c r="B112" s="94"/>
      <c r="C112" s="144"/>
      <c r="D112" s="813" t="s">
        <v>325</v>
      </c>
      <c r="E112" s="609"/>
      <c r="F112" s="612"/>
      <c r="G112" s="839"/>
      <c r="H112" s="880"/>
      <c r="I112" s="880"/>
      <c r="J112" s="880"/>
      <c r="K112" s="880"/>
      <c r="L112" s="1228"/>
      <c r="M112" s="1229"/>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0</v>
      </c>
    </row>
    <row r="113" spans="1:35" ht="12.75" customHeight="1" x14ac:dyDescent="0.2">
      <c r="A113" s="92"/>
      <c r="B113" s="94"/>
      <c r="C113" s="144"/>
      <c r="D113" s="813" t="s">
        <v>581</v>
      </c>
      <c r="E113" s="609"/>
      <c r="F113" s="612"/>
      <c r="G113" s="839"/>
      <c r="H113" s="880"/>
      <c r="I113" s="880"/>
      <c r="J113" s="880"/>
      <c r="K113" s="880"/>
      <c r="L113" s="1228"/>
      <c r="M113" s="1229"/>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0</v>
      </c>
    </row>
    <row r="114" spans="1:35" ht="12.75" customHeight="1" x14ac:dyDescent="0.2">
      <c r="A114" s="92"/>
      <c r="B114" s="94"/>
      <c r="C114" s="144"/>
      <c r="D114" s="813" t="s">
        <v>582</v>
      </c>
      <c r="E114" s="609"/>
      <c r="F114" s="612"/>
      <c r="G114" s="839"/>
      <c r="H114" s="880"/>
      <c r="I114" s="880"/>
      <c r="J114" s="880"/>
      <c r="K114" s="880"/>
      <c r="L114" s="1228"/>
      <c r="M114" s="1229"/>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0</v>
      </c>
    </row>
    <row r="115" spans="1:35" ht="12.75" customHeight="1" x14ac:dyDescent="0.2">
      <c r="A115" s="92"/>
      <c r="B115" s="94"/>
      <c r="C115" s="144"/>
      <c r="D115" s="813" t="s">
        <v>583</v>
      </c>
      <c r="E115" s="609"/>
      <c r="F115" s="612"/>
      <c r="G115" s="839"/>
      <c r="H115" s="880"/>
      <c r="I115" s="880"/>
      <c r="J115" s="880"/>
      <c r="K115" s="880"/>
      <c r="L115" s="1228"/>
      <c r="M115" s="1229"/>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0</v>
      </c>
    </row>
    <row r="116" spans="1:35" ht="12.75" customHeight="1" x14ac:dyDescent="0.2">
      <c r="A116" s="92"/>
      <c r="B116" s="94"/>
      <c r="C116" s="144"/>
      <c r="D116" s="813" t="s">
        <v>584</v>
      </c>
      <c r="E116" s="609"/>
      <c r="F116" s="612"/>
      <c r="G116" s="839"/>
      <c r="H116" s="880"/>
      <c r="I116" s="880"/>
      <c r="J116" s="880"/>
      <c r="K116" s="880"/>
      <c r="L116" s="1228"/>
      <c r="M116" s="1229"/>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0</v>
      </c>
    </row>
    <row r="117" spans="1:35" ht="12.75" customHeight="1" x14ac:dyDescent="0.2">
      <c r="A117" s="92"/>
      <c r="B117" s="94"/>
      <c r="C117" s="144"/>
      <c r="D117" s="813" t="s">
        <v>585</v>
      </c>
      <c r="E117" s="609"/>
      <c r="F117" s="612"/>
      <c r="G117" s="839"/>
      <c r="H117" s="880"/>
      <c r="I117" s="880"/>
      <c r="J117" s="880"/>
      <c r="K117" s="880"/>
      <c r="L117" s="1228"/>
      <c r="M117" s="1229"/>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0</v>
      </c>
    </row>
    <row r="118" spans="1:35" ht="12.75" customHeight="1" x14ac:dyDescent="0.2">
      <c r="A118" s="92"/>
      <c r="B118" s="94"/>
      <c r="C118" s="144"/>
      <c r="D118" s="813" t="s">
        <v>586</v>
      </c>
      <c r="E118" s="609"/>
      <c r="F118" s="612"/>
      <c r="G118" s="839"/>
      <c r="H118" s="880"/>
      <c r="I118" s="880"/>
      <c r="J118" s="880"/>
      <c r="K118" s="880"/>
      <c r="L118" s="1228"/>
      <c r="M118" s="1229"/>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0</v>
      </c>
    </row>
    <row r="119" spans="1:35" ht="12.75" customHeight="1" x14ac:dyDescent="0.2">
      <c r="A119" s="92"/>
      <c r="B119" s="94"/>
      <c r="C119" s="144"/>
      <c r="D119" s="813" t="s">
        <v>4211</v>
      </c>
      <c r="E119" s="609"/>
      <c r="F119" s="612"/>
      <c r="G119" s="839"/>
      <c r="H119" s="880"/>
      <c r="I119" s="880"/>
      <c r="J119" s="880"/>
      <c r="K119" s="880"/>
      <c r="L119" s="1228"/>
      <c r="M119" s="1229"/>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0</v>
      </c>
    </row>
    <row r="120" spans="1:35" ht="12.75" customHeight="1" x14ac:dyDescent="0.2">
      <c r="A120" s="92"/>
      <c r="B120" s="94"/>
      <c r="C120" s="144"/>
      <c r="D120" s="813" t="s">
        <v>587</v>
      </c>
      <c r="E120" s="609"/>
      <c r="F120" s="612"/>
      <c r="G120" s="839"/>
      <c r="H120" s="880"/>
      <c r="I120" s="880"/>
      <c r="J120" s="880"/>
      <c r="K120" s="880"/>
      <c r="L120" s="1228"/>
      <c r="M120" s="1229"/>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0</v>
      </c>
    </row>
    <row r="121" spans="1:35" ht="12.75" customHeight="1" x14ac:dyDescent="0.2">
      <c r="A121" s="92"/>
      <c r="B121" s="94"/>
      <c r="C121" s="144"/>
      <c r="D121" s="814" t="s">
        <v>588</v>
      </c>
      <c r="E121" s="610"/>
      <c r="F121" s="613"/>
      <c r="G121" s="842"/>
      <c r="H121" s="881"/>
      <c r="I121" s="881"/>
      <c r="J121" s="881"/>
      <c r="K121" s="881"/>
      <c r="L121" s="1224"/>
      <c r="M121" s="1225"/>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0</v>
      </c>
    </row>
    <row r="122" spans="1:35" ht="12.75" customHeight="1" thickBot="1" x14ac:dyDescent="0.3">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25">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25">
      <c r="A124" s="91" t="s">
        <v>3</v>
      </c>
      <c r="B124" s="92"/>
      <c r="C124" s="171"/>
      <c r="D124" s="171"/>
      <c r="E124" s="171"/>
      <c r="F124" s="171"/>
      <c r="G124" s="171"/>
      <c r="H124" s="171"/>
      <c r="I124" s="171"/>
      <c r="J124" s="493" t="s">
        <v>425</v>
      </c>
      <c r="K124" s="102" t="b">
        <f>COUNTA(I9,L9,I19:N32,E62:F71,E102:E121)&gt;0</f>
        <v>0</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2578125" defaultRowHeight="12.75" x14ac:dyDescent="0.25"/>
  <cols>
    <col min="1" max="1" width="4.7109375" style="91" hidden="1" customWidth="1"/>
    <col min="2" max="3" width="3.7109375" style="93" customWidth="1"/>
    <col min="4" max="5" width="20.7109375" style="93" customWidth="1"/>
    <col min="6" max="6" width="15.7109375" style="93" customWidth="1"/>
    <col min="7" max="19" width="12.7109375" style="93" customWidth="1"/>
    <col min="20" max="21" width="12.7109375" style="93" hidden="1" customWidth="1"/>
    <col min="22" max="27" width="12.7109375" style="93" customWidth="1"/>
    <col min="28" max="29" width="12.7109375" style="93" hidden="1" customWidth="1"/>
    <col min="30" max="48" width="12.7109375" style="93" customWidth="1"/>
    <col min="49" max="49" width="12.7109375" style="93" hidden="1" customWidth="1"/>
    <col min="50" max="51" width="12.7109375" style="93" customWidth="1"/>
    <col min="52" max="52" width="11.42578125" style="93" hidden="1" customWidth="1"/>
    <col min="53" max="75" width="11.42578125" style="91" hidden="1" customWidth="1"/>
    <col min="76" max="16384" width="11.42578125" style="93"/>
  </cols>
  <sheetData>
    <row r="1" spans="1:75" s="91" customFormat="1" ht="14.1" hidden="1" customHeight="1" thickBot="1" x14ac:dyDescent="0.3">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
      <c r="B2" s="1166" t="str">
        <f>Translations!$B$127</f>
        <v>Source streams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25">
      <c r="B3" s="1169"/>
      <c r="C3" s="1170"/>
      <c r="D3" s="1171"/>
      <c r="E3" s="1165"/>
      <c r="F3" s="1165"/>
      <c r="G3" s="1165" t="str">
        <f>IFERROR(HYPERLINK("#"&amp;ADDRESS(ROW($A$1)+MATCH(BA3,$A:$A,0)-1,3),INDEX($BA:$BA,MATCH(BA3,$A:$A,0))),"")</f>
        <v>Source streams</v>
      </c>
      <c r="H3" s="1165"/>
      <c r="I3" s="1165" t="str">
        <f>IFERROR(HYPERLINK("#"&amp;ADDRESS(ROW($A$1)+MATCH(BC3,$A:$A,0)-1,3),INDEX($BA:$BA,MATCH(BC3,$A:$A,0))),"")</f>
        <v>PFC (perfluorocarbon) emissions</v>
      </c>
      <c r="J3" s="1165"/>
      <c r="K3" s="1165" t="str">
        <f>IFERROR(HYPERLINK("#"&amp;ADDRESS(ROW($A$1)+MATCH(BE3,$A:$A,0)-1,3),INDEX($BA:$BA,MATCH(BE3,$A:$A,0))),"")</f>
        <v>Emission sources</v>
      </c>
      <c r="L3" s="1165"/>
      <c r="M3" s="1165"/>
      <c r="N3" s="1165"/>
      <c r="BA3" s="302">
        <v>1</v>
      </c>
      <c r="BB3" s="303"/>
      <c r="BC3" s="303">
        <v>2</v>
      </c>
      <c r="BD3" s="303"/>
      <c r="BE3" s="303">
        <v>3</v>
      </c>
      <c r="BF3" s="303"/>
      <c r="BG3" s="304"/>
    </row>
    <row r="4" spans="1:75" ht="14.1" customHeight="1" thickBot="1" x14ac:dyDescent="0.3">
      <c r="B4" s="1172"/>
      <c r="C4" s="1173"/>
      <c r="D4" s="1174"/>
      <c r="E4" s="1165"/>
      <c r="F4" s="1165"/>
      <c r="G4" s="1165"/>
      <c r="H4" s="1165"/>
      <c r="I4" s="1165"/>
      <c r="J4" s="1165"/>
      <c r="K4" s="1165"/>
      <c r="L4" s="1165"/>
      <c r="M4" s="1165"/>
      <c r="N4" s="1165"/>
      <c r="BA4" s="307"/>
      <c r="BB4" s="308"/>
      <c r="BC4" s="308"/>
      <c r="BD4" s="308"/>
      <c r="BE4" s="308"/>
      <c r="BF4" s="308"/>
      <c r="BG4" s="309"/>
    </row>
    <row r="5" spans="1:75" ht="5.0999999999999996" customHeight="1" x14ac:dyDescent="0.25">
      <c r="O5" s="32"/>
      <c r="P5" s="32"/>
      <c r="Q5" s="32"/>
      <c r="R5" s="32"/>
      <c r="S5" s="32"/>
      <c r="T5" s="32"/>
      <c r="U5" s="32"/>
      <c r="V5" s="32"/>
      <c r="W5" s="32"/>
      <c r="X5" s="32"/>
      <c r="Y5" s="32"/>
      <c r="Z5" s="32"/>
      <c r="AA5" s="32"/>
      <c r="AB5" s="32"/>
      <c r="AC5" s="32"/>
      <c r="AD5" s="32"/>
      <c r="AE5" s="32"/>
      <c r="AF5" s="32"/>
      <c r="AG5" s="32"/>
      <c r="AH5" s="32"/>
    </row>
    <row r="6" spans="1:75" ht="25.5" customHeight="1" x14ac:dyDescent="0.25">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25">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25">
      <c r="A8" s="801"/>
      <c r="C8" s="807">
        <v>1</v>
      </c>
      <c r="D8" s="1290" t="str">
        <f>Translations!$B$129</f>
        <v>Source streams and emission sources</v>
      </c>
      <c r="E8" s="1290"/>
      <c r="F8" s="1290"/>
      <c r="G8" s="1290"/>
      <c r="H8" s="1290"/>
      <c r="I8" s="1290"/>
      <c r="J8" s="1290"/>
      <c r="K8" s="1290"/>
      <c r="L8" s="1290"/>
      <c r="M8" s="1290"/>
      <c r="N8" s="1290"/>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
      <c r="C9" s="13"/>
      <c r="D9" s="1291"/>
      <c r="E9" s="1291"/>
      <c r="F9" s="1291"/>
      <c r="G9" s="1291"/>
      <c r="H9" s="1291"/>
      <c r="I9" s="1291"/>
      <c r="J9" s="1291"/>
      <c r="K9" s="1291"/>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
      <c r="C10" s="13"/>
      <c r="D10" s="1289" t="str">
        <f ca="1">HYPERLINK("#"&amp;ADDRESS(MATCH($BB10,G_FurtherGuidance!$S:$S,0),3,,,G_FurtherGuidance!$U$2),CONST_LinkToGuidanceSheet)</f>
        <v>Please click on this link for further guidance on how to complete this section.</v>
      </c>
      <c r="E10" s="1289"/>
      <c r="F10" s="1289"/>
      <c r="G10" s="1289"/>
      <c r="H10" s="1289"/>
      <c r="I10" s="1289"/>
      <c r="J10" s="1289"/>
      <c r="K10" s="1289"/>
      <c r="L10" s="1289"/>
      <c r="M10" s="1289"/>
      <c r="N10" s="1289"/>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25">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
      <c r="C17" s="527">
        <v>1</v>
      </c>
      <c r="D17" s="528"/>
      <c r="E17" s="528"/>
      <c r="F17" s="853"/>
      <c r="G17" s="530"/>
      <c r="H17" s="529"/>
      <c r="I17" s="531" t="str">
        <f t="shared" si="0"/>
        <v/>
      </c>
      <c r="J17" s="529"/>
      <c r="K17" s="532"/>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t="str">
        <f t="shared" ref="AU17:AU48" si="17">IF($D17="","",IF(BR17=FALSE,CONST_ERR_Inconsistent,IF(COUNTIF(BS17:BU17,FALSE)&gt;0,CONST_ERR_Incomplete,SUM(BD17:BF17))))</f>
        <v/>
      </c>
      <c r="AV17" s="537" t="str">
        <f>IF(ISNUMBER(AU17),SUM(BH17:BJ17),"")</f>
        <v/>
      </c>
      <c r="AW17" s="535"/>
      <c r="AX17" s="538" t="str">
        <f>IF($D17="","",$F17*$H17/1000*(1-$R17/100))</f>
        <v/>
      </c>
      <c r="AY17" s="538" t="str">
        <f>IF($D17="","",$F17*$H17/1000*($R17/100))</f>
        <v/>
      </c>
      <c r="BA17" s="102" t="str">
        <f t="shared" ref="BA17:BA80" si="18">CONST_CNTR_SUM_CO2</f>
        <v>SUM_CO2</v>
      </c>
      <c r="BD17" s="124" t="str">
        <f t="shared" ref="BD17:BD48" si="19">IF($D17&lt;&gt;INDEX(CONST_MonitoringApproach,1),"",$F17*IF($K17=CONST_tCO2pTJ,$H17/1000,1)*$J17*IF($N17="",1,$N17/100)*(1-$R17/100))</f>
        <v/>
      </c>
      <c r="BE17" s="124" t="str">
        <f t="shared" ref="BE17:BE48" si="20">IF($D17&lt;&gt;INDEX(CONST_MonitoringApproach,2),"",$F17*IF($K17=CONST_tCO2pTJ,$H17/1000,1)*$J17*IF($P17="",1,$P17/100)*(1-$R17/100))</f>
        <v/>
      </c>
      <c r="BF17" s="124" t="str">
        <f t="shared" ref="BF17:BF48" si="21">IF($D17&lt;&gt;INDEX(CONST_MonitoringApproach,3),"",$F17*$L17*3.664*(1-$R17/100))</f>
        <v/>
      </c>
      <c r="BH17" s="124" t="str">
        <f t="shared" ref="BH17:BH48" si="22">IF($D17&lt;&gt;INDEX(CONST_MonitoringApproach,1),"",$F17*IF($K17=CONST_tCO2pTJ,$H17/1000,1)*$J17*IF($N17="",1,$N17/100)*($R17/100))</f>
        <v/>
      </c>
      <c r="BI17" s="124" t="str">
        <f t="shared" ref="BI17:BI48" si="23">IF($D17&lt;&gt;INDEX(CONST_MonitoringApproach,2),"",$F17*IF($K17=CONST_tCO2pTJ,$H17/1000,1)*$J17*IF($P17="",1,$P17/100)*($R17/100))</f>
        <v/>
      </c>
      <c r="BJ17" s="124" t="str">
        <f t="shared" ref="BJ17:BJ48" si="24">IF($D17&lt;&gt;INDEX(CONST_MonitoringApproach,3),"",$F17*$L17*3.664*($R17/100))</f>
        <v/>
      </c>
      <c r="BK17" s="125"/>
      <c r="BL17" s="124" t="str">
        <f t="shared" ref="BL17:BL80" si="25">IF($D17="","",MATCH($D17,CONST_MonitoringApproach,0)=3)</f>
        <v/>
      </c>
      <c r="BM17" s="124" t="str">
        <f t="shared" ref="BM17:BM80" si="26">IF($D17="","",MATCH($D17,CONST_MonitoringApproach,0)&lt;&gt;3)</f>
        <v/>
      </c>
      <c r="BN17" s="124" t="str">
        <f t="shared" ref="BN17:BN80" si="27">IF($D17="","",MATCH($D17,CONST_MonitoringApproach,0)&lt;&gt;1)</f>
        <v/>
      </c>
      <c r="BO17" s="124" t="str">
        <f t="shared" ref="BO17:BO80" si="28">IF($D17="","",MATCH($D17,CONST_MonitoringApproach,0)&lt;&gt;2)</f>
        <v/>
      </c>
      <c r="BP17" s="102" t="b">
        <f t="shared" ref="BP17:BP48" si="29">OR($K17&lt;&gt;CONST_tCO2pTJ,$D17=INDEX(CONST_MonitoringApproach,3))</f>
        <v>1</v>
      </c>
      <c r="BQ17" s="125"/>
      <c r="BR17" s="102" t="str">
        <f t="shared" ref="BR17:BR48" si="30">IF($D17="","",OR(AND($G17 = INDEX(CONST_torkNm3,1), $K17=INDEX(CONST_tCO2pTJOrtCO2pt,2)),AND($G17 = INDEX(CONST_torkNm3,2),$K17=INDEX(CONST_tCO2pTJOrtCO2pt,3)),$K17=INDEX(CONST_tCO2pTJOrtCO2pt,1),$D17=INDEX(CONST_MonitoringApproach,3)))</f>
        <v/>
      </c>
      <c r="BS17" s="102" t="str">
        <f t="shared" ref="BS17:BS48" si="31">IF($D17&lt;&gt;INDEX(CONST_MonitoringApproach,1),"", AND(COUNTA($E17,$G17,$K17)=3,COUNT($F17,$J17)=2,IF($K17=CONST_tCO2pTJ,ISNUMBER($H17),TRUE)))</f>
        <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0</v>
      </c>
    </row>
    <row r="19" spans="3:75" ht="12.75" customHeight="1" x14ac:dyDescent="0.2">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0</v>
      </c>
    </row>
    <row r="20" spans="3:75" ht="12.75" customHeight="1" x14ac:dyDescent="0.2">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0</v>
      </c>
    </row>
    <row r="21" spans="3:75" ht="12.75" customHeight="1" x14ac:dyDescent="0.2">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0</v>
      </c>
    </row>
    <row r="22" spans="3:75" ht="12.75" customHeight="1" x14ac:dyDescent="0.2">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0</v>
      </c>
    </row>
    <row r="23" spans="3:75" ht="12.75" customHeight="1" x14ac:dyDescent="0.2">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0</v>
      </c>
    </row>
    <row r="24" spans="3:75" ht="12.75" customHeight="1" x14ac:dyDescent="0.2">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0</v>
      </c>
    </row>
    <row r="25" spans="3:75" ht="12.75" customHeight="1" x14ac:dyDescent="0.2">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0</v>
      </c>
    </row>
    <row r="26" spans="3:75" ht="12.75" customHeight="1" x14ac:dyDescent="0.2">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0</v>
      </c>
    </row>
    <row r="27" spans="3:75" ht="12.75" customHeight="1" x14ac:dyDescent="0.2">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0</v>
      </c>
    </row>
    <row r="28" spans="3:75" ht="12.75" customHeight="1" x14ac:dyDescent="0.2">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0</v>
      </c>
    </row>
    <row r="29" spans="3:75" ht="12.75" customHeight="1" x14ac:dyDescent="0.2">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0</v>
      </c>
    </row>
    <row r="30" spans="3:75" ht="12.75" customHeight="1" x14ac:dyDescent="0.2">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0</v>
      </c>
    </row>
    <row r="31" spans="3:75" ht="12.75" customHeight="1" x14ac:dyDescent="0.2">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0</v>
      </c>
    </row>
    <row r="32" spans="3:75" ht="12.75" customHeight="1" x14ac:dyDescent="0.2">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0</v>
      </c>
    </row>
    <row r="33" spans="3:75" ht="12.75" customHeight="1" x14ac:dyDescent="0.2">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0</v>
      </c>
    </row>
    <row r="34" spans="3:75" ht="12.75" customHeight="1" x14ac:dyDescent="0.2">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0</v>
      </c>
    </row>
    <row r="35" spans="3:75" ht="12.75" customHeight="1" x14ac:dyDescent="0.2">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0</v>
      </c>
    </row>
    <row r="36" spans="3:75" ht="12.75" customHeight="1" x14ac:dyDescent="0.2">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0</v>
      </c>
    </row>
    <row r="37" spans="3:75" ht="12.75" customHeight="1" x14ac:dyDescent="0.2">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0</v>
      </c>
    </row>
    <row r="38" spans="3:75" ht="12.75" customHeight="1" x14ac:dyDescent="0.2">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0</v>
      </c>
    </row>
    <row r="39" spans="3:75" ht="12.75" customHeight="1" x14ac:dyDescent="0.2">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0</v>
      </c>
    </row>
    <row r="40" spans="3:75" ht="12.75" customHeight="1" x14ac:dyDescent="0.2">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0</v>
      </c>
    </row>
    <row r="41" spans="3:75" ht="12.75" customHeight="1" x14ac:dyDescent="0.2">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0</v>
      </c>
    </row>
    <row r="42" spans="3:75" ht="12.75" customHeight="1" x14ac:dyDescent="0.2">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0</v>
      </c>
    </row>
    <row r="43" spans="3:75" ht="12.75" customHeight="1" x14ac:dyDescent="0.2">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0</v>
      </c>
    </row>
    <row r="44" spans="3:75" ht="12.75" customHeight="1" x14ac:dyDescent="0.2">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0</v>
      </c>
    </row>
    <row r="45" spans="3:75" ht="12.75" customHeight="1" x14ac:dyDescent="0.2">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0</v>
      </c>
    </row>
    <row r="46" spans="3:75" ht="12.75" customHeight="1" x14ac:dyDescent="0.2">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0</v>
      </c>
    </row>
    <row r="47" spans="3:75" ht="12.75" customHeight="1" x14ac:dyDescent="0.2">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0</v>
      </c>
    </row>
    <row r="48" spans="3:75" ht="12.75" customHeight="1" x14ac:dyDescent="0.2">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0</v>
      </c>
    </row>
    <row r="49" spans="3:75" ht="12.75" customHeight="1" x14ac:dyDescent="0.2">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0</v>
      </c>
    </row>
    <row r="50" spans="3:75" ht="12.75" customHeight="1" x14ac:dyDescent="0.2">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0</v>
      </c>
    </row>
    <row r="51" spans="3:75" ht="12.75" customHeight="1" x14ac:dyDescent="0.2">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0</v>
      </c>
    </row>
    <row r="52" spans="3:75" ht="12.75" customHeight="1" x14ac:dyDescent="0.2">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0</v>
      </c>
    </row>
    <row r="53" spans="3:75" ht="12.75" customHeight="1" x14ac:dyDescent="0.2">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0</v>
      </c>
    </row>
    <row r="54" spans="3:75" ht="12.75" customHeight="1" x14ac:dyDescent="0.2">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0</v>
      </c>
    </row>
    <row r="55" spans="3:75" ht="12.75" customHeight="1" x14ac:dyDescent="0.2">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0</v>
      </c>
    </row>
    <row r="56" spans="3:75" ht="12.75" customHeight="1" x14ac:dyDescent="0.2">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0</v>
      </c>
    </row>
    <row r="57" spans="3:75" ht="12.75" customHeight="1" x14ac:dyDescent="0.2">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0</v>
      </c>
    </row>
    <row r="58" spans="3:75" ht="12.75" customHeight="1" x14ac:dyDescent="0.2">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0</v>
      </c>
    </row>
    <row r="59" spans="3:75" ht="12.75" customHeight="1" x14ac:dyDescent="0.2">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0</v>
      </c>
    </row>
    <row r="60" spans="3:75" ht="12.75" customHeight="1" x14ac:dyDescent="0.2">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0</v>
      </c>
    </row>
    <row r="61" spans="3:75" ht="12.75" customHeight="1" x14ac:dyDescent="0.2">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0</v>
      </c>
    </row>
    <row r="62" spans="3:75" ht="12.75" customHeight="1" x14ac:dyDescent="0.2">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0</v>
      </c>
    </row>
    <row r="63" spans="3:75" ht="12.75" customHeight="1" x14ac:dyDescent="0.2">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0</v>
      </c>
    </row>
    <row r="64" spans="3:75" ht="12.75" customHeight="1" x14ac:dyDescent="0.2">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0</v>
      </c>
    </row>
    <row r="65" spans="3:75" ht="12.75" customHeight="1" x14ac:dyDescent="0.2">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0</v>
      </c>
    </row>
    <row r="66" spans="3:75" ht="12.75" customHeight="1" x14ac:dyDescent="0.2">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0</v>
      </c>
    </row>
    <row r="67" spans="3:75" ht="12.75" customHeight="1" x14ac:dyDescent="0.2">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0</v>
      </c>
    </row>
    <row r="68" spans="3:75" ht="12.75" customHeight="1" x14ac:dyDescent="0.2">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0</v>
      </c>
    </row>
    <row r="69" spans="3:75" ht="12.75" customHeight="1" x14ac:dyDescent="0.2">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0</v>
      </c>
    </row>
    <row r="70" spans="3:75" ht="12.75" customHeight="1" x14ac:dyDescent="0.2">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0</v>
      </c>
    </row>
    <row r="71" spans="3:75" ht="12.75" customHeight="1" x14ac:dyDescent="0.2">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0</v>
      </c>
    </row>
    <row r="72" spans="3:75" ht="12.75" customHeight="1" x14ac:dyDescent="0.2">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0</v>
      </c>
    </row>
    <row r="73" spans="3:75" ht="12.75" customHeight="1" x14ac:dyDescent="0.2">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0</v>
      </c>
    </row>
    <row r="74" spans="3:75" ht="12.75" customHeight="1" x14ac:dyDescent="0.2">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0</v>
      </c>
    </row>
    <row r="75" spans="3:75" ht="12.75" customHeight="1" x14ac:dyDescent="0.2">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0</v>
      </c>
    </row>
    <row r="76" spans="3:75" ht="12.75" customHeight="1" x14ac:dyDescent="0.2">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0</v>
      </c>
    </row>
    <row r="77" spans="3:75" ht="12.75" customHeight="1" x14ac:dyDescent="0.2">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0</v>
      </c>
    </row>
    <row r="78" spans="3:75" ht="12.75" customHeight="1" x14ac:dyDescent="0.2">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0</v>
      </c>
    </row>
    <row r="79" spans="3:75" ht="12.75" customHeight="1" x14ac:dyDescent="0.2">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0</v>
      </c>
    </row>
    <row r="80" spans="3:75" ht="12.75" customHeight="1" x14ac:dyDescent="0.2">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0</v>
      </c>
    </row>
    <row r="81" spans="1:75" ht="12.75" customHeight="1" x14ac:dyDescent="0.2">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0</v>
      </c>
    </row>
    <row r="82" spans="1:75" ht="12.75" customHeight="1" x14ac:dyDescent="0.2">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0</v>
      </c>
    </row>
    <row r="83" spans="1:75" ht="12.75" customHeight="1" x14ac:dyDescent="0.2">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0</v>
      </c>
    </row>
    <row r="84" spans="1:75" ht="12.75" customHeight="1" x14ac:dyDescent="0.2">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0</v>
      </c>
    </row>
    <row r="85" spans="1:75" ht="12.75" customHeight="1" x14ac:dyDescent="0.2">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0</v>
      </c>
    </row>
    <row r="86" spans="1:75" ht="12.75" customHeight="1" x14ac:dyDescent="0.2">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0</v>
      </c>
    </row>
    <row r="87" spans="1:75" ht="12.75" customHeight="1" x14ac:dyDescent="0.2">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0</v>
      </c>
    </row>
    <row r="88" spans="1:75" ht="12.75" customHeight="1" x14ac:dyDescent="0.2">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0</v>
      </c>
    </row>
    <row r="89" spans="1:75" ht="12.75" customHeight="1" x14ac:dyDescent="0.2">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0</v>
      </c>
    </row>
    <row r="90" spans="1:75" ht="12.75" customHeight="1" x14ac:dyDescent="0.2">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0</v>
      </c>
    </row>
    <row r="91" spans="1:75" ht="12.75" customHeight="1" x14ac:dyDescent="0.2">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0</v>
      </c>
    </row>
    <row r="92" spans="1:75" ht="12.75" customHeight="1" x14ac:dyDescent="0.25"/>
    <row r="93" spans="1:75" ht="12.75" customHeight="1" x14ac:dyDescent="0.25"/>
    <row r="94" spans="1:75" ht="12.75" customHeight="1" x14ac:dyDescent="0.25"/>
    <row r="95" spans="1:75" s="122" customFormat="1" ht="20.100000000000001" customHeight="1" thickBot="1" x14ac:dyDescent="0.3">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25">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0</v>
      </c>
    </row>
    <row r="99" spans="1:75" ht="12.75" customHeight="1" x14ac:dyDescent="0.2">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0</v>
      </c>
    </row>
    <row r="100" spans="1:75" ht="12.75" customHeight="1" x14ac:dyDescent="0.2">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0</v>
      </c>
    </row>
    <row r="101" spans="1:75" ht="12.75" customHeight="1" x14ac:dyDescent="0.2">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0</v>
      </c>
    </row>
    <row r="102" spans="1:75" ht="12.75" customHeight="1" x14ac:dyDescent="0.2">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0</v>
      </c>
    </row>
    <row r="103" spans="1:75" ht="12.75" customHeight="1" x14ac:dyDescent="0.2">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0</v>
      </c>
    </row>
    <row r="104" spans="1:75" ht="12.75" customHeight="1" x14ac:dyDescent="0.2">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0</v>
      </c>
    </row>
    <row r="105" spans="1:75" ht="12.75" customHeight="1" x14ac:dyDescent="0.2">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0</v>
      </c>
    </row>
    <row r="106" spans="1:75" ht="12.75" customHeight="1" x14ac:dyDescent="0.2">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0</v>
      </c>
    </row>
    <row r="107" spans="1:75" ht="12.75" customHeight="1" x14ac:dyDescent="0.2">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0</v>
      </c>
    </row>
    <row r="108" spans="1:75" ht="12.75" customHeight="1" x14ac:dyDescent="0.2">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25">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4.25" x14ac:dyDescent="0.2">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4.25" x14ac:dyDescent="0.2">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4.25" x14ac:dyDescent="0.2">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0</v>
      </c>
    </row>
    <row r="114" spans="1:75" ht="14.25" x14ac:dyDescent="0.2">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0</v>
      </c>
    </row>
    <row r="115" spans="1:75" ht="14.25" x14ac:dyDescent="0.2">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0</v>
      </c>
    </row>
    <row r="116" spans="1:75" ht="14.25" x14ac:dyDescent="0.2">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0</v>
      </c>
    </row>
    <row r="117" spans="1:75" ht="14.25" x14ac:dyDescent="0.2">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0</v>
      </c>
    </row>
    <row r="118" spans="1:75" ht="14.25" x14ac:dyDescent="0.2">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0</v>
      </c>
    </row>
    <row r="119" spans="1:75" ht="14.25" x14ac:dyDescent="0.2">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0</v>
      </c>
    </row>
    <row r="120" spans="1:75" ht="14.25" x14ac:dyDescent="0.2">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0</v>
      </c>
    </row>
    <row r="121" spans="1:75" ht="14.25" x14ac:dyDescent="0.2">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0</v>
      </c>
    </row>
    <row r="122" spans="1:75" ht="14.25" x14ac:dyDescent="0.2">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0</v>
      </c>
    </row>
    <row r="124" spans="1:75" s="91" customFormat="1" hidden="1" x14ac:dyDescent="0.25">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7">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4" width="11.42578125" style="91" hidden="1" customWidth="1"/>
    <col min="25" max="16384" width="11.42578125" style="93"/>
  </cols>
  <sheetData>
    <row r="1" spans="1:24" s="91" customFormat="1" ht="14.1" hidden="1" customHeight="1" thickBot="1" x14ac:dyDescent="0.3">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
      <c r="A2" s="92"/>
      <c r="B2" s="1166" t="str">
        <f>Translations!$B$212</f>
        <v>Energy &amp; Emissions</v>
      </c>
      <c r="C2" s="1167"/>
      <c r="D2" s="1168"/>
      <c r="E2" s="1175" t="str">
        <f>Translations!$B$11</f>
        <v>Navigation Area:</v>
      </c>
      <c r="F2" s="1176"/>
      <c r="G2" s="1163" t="str">
        <f ca="1">HYPERLINK("#"&amp;ADDRESS(2,3,,,a_Contents!$U$2),a_Contents!$B$2)</f>
        <v>Table of contents</v>
      </c>
      <c r="H2" s="1164"/>
      <c r="I2" s="1163" t="str">
        <f ca="1">HYPERLINK("#"&amp;ADDRESS(2,3,,,G_FurtherGuidance!$U$2),G_FurtherGuidance!$B$2)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25">
      <c r="A3" s="92"/>
      <c r="B3" s="1169"/>
      <c r="C3" s="1170"/>
      <c r="D3" s="1171"/>
      <c r="E3" s="1165"/>
      <c r="F3" s="1165"/>
      <c r="G3" s="1165" t="str">
        <f>IFERROR(HYPERLINK("#"&amp;ADDRESS(ROW($A$1)+MATCH(R3,$A:$A,0)-1,3),INDEX($R:$R,MATCH(R3,$A:$A,0))),"")</f>
        <v>Fuel balance</v>
      </c>
      <c r="H3" s="1165"/>
      <c r="I3" s="1165" t="str">
        <f>IFERROR(HYPERLINK("#"&amp;ADDRESS(ROW($A$1)+MATCH(T3,$A:$A,0)-1,3),INDEX($R:$R,MATCH(T3,$A:$A,0))),"")</f>
        <v>GHG balance &amp; data quality</v>
      </c>
      <c r="J3" s="1165"/>
      <c r="K3" s="1165"/>
      <c r="L3" s="1165"/>
      <c r="M3" s="1165"/>
      <c r="N3" s="1165"/>
      <c r="O3" s="428"/>
      <c r="P3" s="144"/>
      <c r="R3" s="302">
        <v>1</v>
      </c>
      <c r="S3" s="303"/>
      <c r="T3" s="303">
        <v>2</v>
      </c>
      <c r="U3" s="303"/>
      <c r="V3" s="303"/>
      <c r="W3" s="303"/>
      <c r="X3" s="304"/>
    </row>
    <row r="4" spans="1:24" ht="14.1" customHeight="1" thickBot="1" x14ac:dyDescent="0.3">
      <c r="A4" s="92"/>
      <c r="B4" s="1172"/>
      <c r="C4" s="1173"/>
      <c r="D4" s="1174"/>
      <c r="E4" s="1165"/>
      <c r="F4" s="1165"/>
      <c r="G4" s="1165"/>
      <c r="H4" s="1165"/>
      <c r="I4" s="1165"/>
      <c r="J4" s="1165"/>
      <c r="K4" s="1165"/>
      <c r="L4" s="1165"/>
      <c r="M4" s="1165"/>
      <c r="N4" s="1165"/>
      <c r="O4" s="428"/>
      <c r="P4" s="144"/>
      <c r="R4" s="307"/>
      <c r="S4" s="308"/>
      <c r="T4" s="308"/>
      <c r="U4" s="308"/>
      <c r="V4" s="308"/>
      <c r="W4" s="308"/>
      <c r="X4" s="309"/>
    </row>
    <row r="5" spans="1:24" ht="5.0999999999999996" customHeight="1" x14ac:dyDescent="0.25">
      <c r="A5" s="92"/>
      <c r="B5" s="144"/>
      <c r="C5" s="144"/>
      <c r="D5" s="144"/>
      <c r="E5" s="144"/>
      <c r="F5" s="144"/>
      <c r="G5" s="144"/>
      <c r="H5" s="144"/>
      <c r="I5" s="144"/>
      <c r="J5" s="144"/>
      <c r="K5" s="144"/>
      <c r="L5" s="144"/>
      <c r="M5" s="144"/>
      <c r="N5" s="144"/>
      <c r="O5" s="428"/>
      <c r="P5" s="144"/>
    </row>
    <row r="6" spans="1:24" ht="25.5" customHeight="1" x14ac:dyDescent="0.25">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25">
      <c r="A7" s="92"/>
      <c r="B7" s="144"/>
      <c r="C7" s="144"/>
      <c r="D7" s="144"/>
      <c r="E7" s="144"/>
      <c r="F7" s="144"/>
      <c r="G7" s="144"/>
      <c r="H7" s="144"/>
      <c r="I7" s="144"/>
      <c r="J7" s="144"/>
      <c r="K7" s="144"/>
      <c r="L7" s="144"/>
      <c r="M7" s="144"/>
      <c r="N7" s="144"/>
      <c r="O7" s="428"/>
      <c r="P7" s="144"/>
    </row>
    <row r="8" spans="1:24" ht="18" customHeight="1" x14ac:dyDescent="0.25">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25">
      <c r="A9" s="92"/>
      <c r="B9" s="144"/>
      <c r="C9" s="144"/>
      <c r="D9" s="144"/>
      <c r="E9" s="144"/>
      <c r="F9" s="144"/>
      <c r="G9" s="144"/>
      <c r="H9" s="144"/>
      <c r="I9" s="144"/>
      <c r="J9" s="144"/>
      <c r="K9" s="144"/>
      <c r="L9" s="144"/>
      <c r="M9" s="144"/>
      <c r="N9" s="144"/>
      <c r="O9" s="428"/>
      <c r="P9" s="144"/>
    </row>
    <row r="10" spans="1:24" ht="12.75" customHeight="1" x14ac:dyDescent="0.25">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25">
      <c r="A11" s="92"/>
      <c r="B11" s="144"/>
      <c r="C11" s="144"/>
      <c r="D11" s="939" t="s">
        <v>206</v>
      </c>
      <c r="E11" s="1307" t="str">
        <f>Translations!$B$217</f>
        <v>Fuel input to all CBAM production processes (including precursors produced within the installation), either directly or via the production of measurable heat (e.g. steam) with the exception of fuel for electricity.</v>
      </c>
      <c r="F11" s="1307"/>
      <c r="G11" s="1307"/>
      <c r="H11" s="1307"/>
      <c r="I11" s="1307"/>
      <c r="J11" s="1307"/>
      <c r="K11" s="1307"/>
      <c r="L11" s="1307"/>
      <c r="M11" s="1307"/>
      <c r="N11" s="1307"/>
      <c r="O11" s="428"/>
      <c r="P11" s="144"/>
    </row>
    <row r="12" spans="1:24" ht="12.75" customHeight="1" x14ac:dyDescent="0.25">
      <c r="A12" s="92"/>
      <c r="B12" s="144"/>
      <c r="C12" s="144"/>
      <c r="D12" s="939" t="s">
        <v>206</v>
      </c>
      <c r="E12" s="1308" t="str">
        <f>Translations!$B$218</f>
        <v>Fuel input for electricity production</v>
      </c>
      <c r="F12" s="1309"/>
      <c r="G12" s="1309"/>
      <c r="H12" s="1309"/>
      <c r="I12" s="1309"/>
      <c r="J12" s="1309"/>
      <c r="K12" s="1309"/>
      <c r="L12" s="1309"/>
      <c r="M12" s="1309"/>
      <c r="N12" s="1309"/>
      <c r="O12" s="428"/>
      <c r="P12" s="144"/>
    </row>
    <row r="13" spans="1:24" ht="12.75" customHeight="1" x14ac:dyDescent="0.25">
      <c r="A13" s="92"/>
      <c r="B13" s="144"/>
      <c r="C13" s="144"/>
      <c r="D13" s="939" t="s">
        <v>206</v>
      </c>
      <c r="E13" s="1308" t="str">
        <f>Translations!$B$219</f>
        <v>Fuel input to all non-CBAM production processes, either directly or via the production of measurable heat (e.g. steam).</v>
      </c>
      <c r="F13" s="1309"/>
      <c r="G13" s="1309"/>
      <c r="H13" s="1309"/>
      <c r="I13" s="1309"/>
      <c r="J13" s="1309"/>
      <c r="K13" s="1309"/>
      <c r="L13" s="1309"/>
      <c r="M13" s="1309"/>
      <c r="N13" s="1309"/>
      <c r="O13" s="428"/>
      <c r="P13" s="144"/>
    </row>
    <row r="14" spans="1:24" s="130" customFormat="1" ht="52.9" customHeight="1" x14ac:dyDescent="0.2">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25">
      <c r="A15" s="92"/>
      <c r="B15" s="144"/>
      <c r="C15" s="144"/>
      <c r="D15" s="166" t="s">
        <v>41</v>
      </c>
      <c r="E15" s="133" t="str">
        <f>Translations!$B$227</f>
        <v>from sheet "B_EmInst"</v>
      </c>
      <c r="F15" s="133"/>
      <c r="G15" s="134" t="str">
        <f>CONST_TJ</f>
        <v>TJ</v>
      </c>
      <c r="H15" s="294" t="str">
        <f>IF(CNTR_HasEntriesA,SUMIFS(B_EmInst!$AX:$AX,B_EmInst!$BA:$BA,CONST_CNTR_SUM_CO2)+SUMIFS(B_EmInst!$AY:$AY,B_EmInst!$BA:$BA,CONST_CNTR_SUM_CO2),"")</f>
        <v/>
      </c>
      <c r="I15" s="295"/>
      <c r="J15" s="295"/>
      <c r="K15" s="295"/>
      <c r="L15" s="743"/>
      <c r="M15" s="144"/>
      <c r="N15" s="144"/>
      <c r="O15" s="428"/>
      <c r="P15" s="144"/>
    </row>
    <row r="16" spans="1:24" ht="12.75" customHeight="1" x14ac:dyDescent="0.25">
      <c r="A16" s="92"/>
      <c r="B16" s="144"/>
      <c r="C16" s="144"/>
      <c r="D16" s="166" t="s">
        <v>42</v>
      </c>
      <c r="E16" s="136" t="str">
        <f>Translations!$B$228</f>
        <v>manual entries</v>
      </c>
      <c r="F16" s="136"/>
      <c r="G16" s="137" t="str">
        <f>CONST_TJ</f>
        <v>TJ</v>
      </c>
      <c r="H16" s="146"/>
      <c r="I16" s="146"/>
      <c r="J16" s="146"/>
      <c r="K16" s="146"/>
      <c r="L16" s="744"/>
      <c r="M16" s="144"/>
      <c r="N16" s="144"/>
      <c r="O16" s="428"/>
      <c r="P16" s="144"/>
    </row>
    <row r="17" spans="1:24" ht="12.75" customHeight="1" x14ac:dyDescent="0.25">
      <c r="A17" s="92"/>
      <c r="B17" s="144"/>
      <c r="C17" s="144"/>
      <c r="D17" s="166" t="s">
        <v>43</v>
      </c>
      <c r="E17" s="138" t="str">
        <f>Translations!$B$229</f>
        <v>Results:</v>
      </c>
      <c r="F17" s="138"/>
      <c r="G17" s="139" t="str">
        <f>CONST_TJ</f>
        <v>TJ</v>
      </c>
      <c r="H17" s="296" t="str">
        <f>IF(H16="",H15,H16)</f>
        <v/>
      </c>
      <c r="I17" s="296" t="str">
        <f>IF(I16="","",I16)</f>
        <v/>
      </c>
      <c r="J17" s="296" t="str">
        <f>IF(J16="","",J16)</f>
        <v/>
      </c>
      <c r="K17" s="296" t="str">
        <f>IF(K16="","",K16)</f>
        <v/>
      </c>
      <c r="L17" s="296" t="str">
        <f>IF(COUNT(H17:K17)&gt;0,SUM(H17)-SUM(I17:K17),"")</f>
        <v/>
      </c>
      <c r="M17" s="144"/>
      <c r="N17" s="144"/>
      <c r="O17" s="428"/>
      <c r="P17" s="144"/>
    </row>
    <row r="18" spans="1:24" ht="12.75" customHeight="1" x14ac:dyDescent="0.25">
      <c r="A18" s="92"/>
      <c r="B18" s="144"/>
      <c r="C18" s="144"/>
      <c r="D18" s="144"/>
      <c r="E18" s="144"/>
      <c r="F18" s="144"/>
      <c r="G18" s="144"/>
      <c r="H18" s="144"/>
      <c r="I18" s="144"/>
      <c r="J18" s="144"/>
      <c r="K18" s="144"/>
      <c r="L18" s="144"/>
      <c r="M18" s="144"/>
      <c r="N18" s="144"/>
      <c r="O18" s="428"/>
      <c r="P18" s="144"/>
    </row>
    <row r="19" spans="1:24" ht="18" customHeight="1" x14ac:dyDescent="0.25">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25">
      <c r="A20" s="92"/>
      <c r="B20" s="144"/>
      <c r="C20" s="144"/>
      <c r="D20" s="144"/>
      <c r="E20" s="144"/>
      <c r="F20" s="144"/>
      <c r="G20" s="144"/>
      <c r="H20" s="144"/>
      <c r="I20" s="144"/>
      <c r="J20" s="144"/>
      <c r="K20" s="144"/>
      <c r="L20" s="144"/>
      <c r="M20" s="144"/>
      <c r="N20" s="144"/>
      <c r="O20" s="428"/>
      <c r="P20" s="144"/>
    </row>
    <row r="21" spans="1:24" ht="12.75" customHeight="1" x14ac:dyDescent="0.25">
      <c r="A21" s="92"/>
      <c r="B21" s="144"/>
      <c r="C21" s="144"/>
      <c r="D21" s="10" t="s">
        <v>4</v>
      </c>
      <c r="E21" s="1263" t="str">
        <f>Translations!$B$1850</f>
        <v>GHG balance by type of GHG</v>
      </c>
      <c r="F21" s="1263"/>
      <c r="G21" s="1263"/>
      <c r="H21" s="1263"/>
      <c r="I21" s="1263"/>
      <c r="J21" s="1263"/>
      <c r="K21" s="1263"/>
      <c r="L21" s="1263"/>
      <c r="M21" s="1263"/>
      <c r="N21" s="1263"/>
      <c r="O21" s="428"/>
      <c r="P21" s="144"/>
    </row>
    <row r="22" spans="1:24" ht="25.5" customHeight="1" x14ac:dyDescent="0.25">
      <c r="A22" s="92"/>
      <c r="B22" s="144"/>
      <c r="C22" s="144"/>
      <c r="D22" s="144"/>
      <c r="E22" s="1230" t="str">
        <f>Translations!$B$231</f>
        <v>Values below are taken automatically from entries in sheet "B_EmInst". If entries made in that sheet are incomplete, please enter the total emissions figures manually under ii. to override automatic results displayed under i.</v>
      </c>
      <c r="F22" s="1230"/>
      <c r="G22" s="1230"/>
      <c r="H22" s="1230"/>
      <c r="I22" s="1230"/>
      <c r="J22" s="1230"/>
      <c r="K22" s="1230"/>
      <c r="L22" s="1230"/>
      <c r="M22" s="1230"/>
      <c r="N22" s="1230"/>
      <c r="O22" s="428"/>
      <c r="P22" s="144"/>
    </row>
    <row r="23" spans="1:24" ht="13.15" customHeight="1" x14ac:dyDescent="0.25">
      <c r="A23" s="92"/>
      <c r="B23" s="144"/>
      <c r="C23" s="144"/>
      <c r="D23" s="144"/>
      <c r="E23" s="1230" t="str">
        <f>Translations!$B$1965</f>
        <v>The entry of total indirect emissions must always be entered manually.</v>
      </c>
      <c r="F23" s="1230"/>
      <c r="G23" s="1230"/>
      <c r="H23" s="1230"/>
      <c r="I23" s="1230"/>
      <c r="J23" s="1230"/>
      <c r="K23" s="1230"/>
      <c r="L23" s="1230"/>
      <c r="M23" s="1230"/>
      <c r="N23" s="1230"/>
      <c r="O23" s="428"/>
      <c r="P23" s="144"/>
    </row>
    <row r="24" spans="1:24" s="130" customFormat="1" ht="38.25" customHeight="1" x14ac:dyDescent="0.2">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25">
      <c r="A25" s="92"/>
      <c r="B25" s="144"/>
      <c r="C25" s="144"/>
      <c r="D25" s="166" t="s">
        <v>41</v>
      </c>
      <c r="E25" s="133" t="str">
        <f>Translations!$B$227</f>
        <v>from sheet "B_EmInst"</v>
      </c>
      <c r="F25" s="133"/>
      <c r="G25" s="134" t="str">
        <f>CONST_tCO2eq</f>
        <v>tCO2e</v>
      </c>
      <c r="H25" s="135" t="str">
        <f>IF(CNTR_HasEntriesA,SUMIFS(B_EmInst!$AU:$AU,B_EmInst!$BA:$BA,CONST_CNTR_SUM_CO2),"")</f>
        <v/>
      </c>
      <c r="I25" s="135" t="str">
        <f>IF(CNTR_HasEntriesA,SUMIFS(B_EmInst!AV:AV,B_EmInst!$BA:$BA,CONST_CNTR_SUM_CO2),"")</f>
        <v/>
      </c>
      <c r="J25" s="135" t="str">
        <f>IF(CNTR_HasEntriesA,SUMIFS(B_EmInst!$AU:$AU,B_EmInst!$BA:$BA,CONST_CNTR_SUM_N2O),"")</f>
        <v/>
      </c>
      <c r="K25" s="135" t="str">
        <f>IF(CNTR_HasEntriesA,SUMIFS(B_EmInst!$AU:$AU,B_EmInst!$BA:$BA,CONST_CNTR_SUM_PFC),"")</f>
        <v/>
      </c>
      <c r="L25" s="135" t="str">
        <f>IF(COUNT(H25:K25)&gt;0,SUM(H25,J25:K25),"")</f>
        <v/>
      </c>
      <c r="M25" s="624"/>
      <c r="N25" s="624"/>
      <c r="O25" s="428"/>
      <c r="P25" s="144"/>
    </row>
    <row r="26" spans="1:24" ht="12.75" customHeight="1" x14ac:dyDescent="0.25">
      <c r="A26" s="92"/>
      <c r="B26" s="144"/>
      <c r="C26" s="144"/>
      <c r="D26" s="166" t="s">
        <v>42</v>
      </c>
      <c r="E26" s="142" t="str">
        <f>Translations!$B$228</f>
        <v>manual entries</v>
      </c>
      <c r="F26" s="142"/>
      <c r="G26" s="143" t="str">
        <f>CONST_tCO2eq</f>
        <v>tCO2e</v>
      </c>
      <c r="H26" s="33"/>
      <c r="I26" s="33"/>
      <c r="J26" s="33"/>
      <c r="K26" s="33"/>
      <c r="L26" s="625"/>
      <c r="M26" s="31"/>
      <c r="N26" s="625"/>
      <c r="O26" s="428"/>
      <c r="P26" s="144"/>
    </row>
    <row r="27" spans="1:24" ht="12.75" customHeight="1" x14ac:dyDescent="0.25">
      <c r="A27" s="92"/>
      <c r="B27" s="144"/>
      <c r="C27" s="144"/>
      <c r="D27" s="166" t="s">
        <v>43</v>
      </c>
      <c r="E27" s="138" t="str">
        <f>Translations!$B$229</f>
        <v>Results:</v>
      </c>
      <c r="F27" s="138"/>
      <c r="G27" s="139" t="str">
        <f>CONST_tCO2eq</f>
        <v>tCO2e</v>
      </c>
      <c r="H27" s="140" t="str">
        <f>IF(CNTR_HasEntriesA,IF(H26="",H25,H26),"")</f>
        <v/>
      </c>
      <c r="I27" s="140" t="str">
        <f>IF(CNTR_HasEntriesA,IF(I26="",I25,I26),"")</f>
        <v/>
      </c>
      <c r="J27" s="140" t="str">
        <f>IF(CNTR_HasEntriesA,IF(J26="",J25,J26),"")</f>
        <v/>
      </c>
      <c r="K27" s="140" t="str">
        <f>IF(CNTR_HasEntriesA,IF(K26="",K25,K26),"")</f>
        <v/>
      </c>
      <c r="L27" s="140" t="str">
        <f>IF(CNTR_HasEntriesA,SUM(H27,J27:K27),"")</f>
        <v/>
      </c>
      <c r="M27" s="140" t="str">
        <f>IF(M26="","",M26)</f>
        <v/>
      </c>
      <c r="N27" s="140" t="str">
        <f>IF(COUNT(L27:M27)&gt;0,SUM(L27:M27),"")</f>
        <v/>
      </c>
      <c r="O27" s="428"/>
      <c r="P27" s="144"/>
    </row>
    <row r="28" spans="1:24" ht="5.0999999999999996" customHeight="1" x14ac:dyDescent="0.25">
      <c r="A28" s="92"/>
      <c r="B28" s="144"/>
      <c r="C28" s="144"/>
      <c r="D28" s="166"/>
      <c r="E28" s="167"/>
      <c r="F28" s="167"/>
      <c r="G28" s="168"/>
      <c r="H28" s="144"/>
      <c r="I28" s="144"/>
      <c r="J28" s="144"/>
      <c r="K28" s="144"/>
      <c r="L28" s="144"/>
      <c r="M28" s="144"/>
      <c r="N28" s="144"/>
      <c r="O28" s="428"/>
      <c r="P28" s="144"/>
    </row>
    <row r="29" spans="1:24" ht="12.75" customHeight="1" x14ac:dyDescent="0.25">
      <c r="A29" s="92"/>
      <c r="B29" s="144"/>
      <c r="C29" s="144"/>
      <c r="D29" s="10" t="s">
        <v>48</v>
      </c>
      <c r="E29" s="1263" t="str">
        <f>Translations!$B$1851</f>
        <v>GHG balance by type of monitoring methodology</v>
      </c>
      <c r="F29" s="1263"/>
      <c r="G29" s="1263"/>
      <c r="H29" s="1263"/>
      <c r="I29" s="1263"/>
      <c r="J29" s="1263"/>
      <c r="K29" s="1263"/>
      <c r="L29" s="1263"/>
      <c r="M29" s="1263"/>
      <c r="N29" s="1263"/>
      <c r="O29" s="428"/>
      <c r="P29" s="144"/>
    </row>
    <row r="30" spans="1:24" ht="12.75" customHeight="1" x14ac:dyDescent="0.25">
      <c r="A30" s="92"/>
      <c r="B30" s="144"/>
      <c r="C30" s="144"/>
      <c r="D30" s="144"/>
      <c r="E30" s="1307" t="str">
        <f>Translations!$B$1852</f>
        <v>Values below are taken automatically from entries in sheet "B_EmInst" and point (a) above.</v>
      </c>
      <c r="F30" s="1307"/>
      <c r="G30" s="1307"/>
      <c r="H30" s="1307"/>
      <c r="I30" s="1307"/>
      <c r="J30" s="1307"/>
      <c r="K30" s="1307"/>
      <c r="L30" s="1307"/>
      <c r="M30" s="1307"/>
      <c r="N30" s="1307"/>
      <c r="O30" s="428"/>
      <c r="P30" s="144"/>
    </row>
    <row r="31" spans="1:24" ht="38.85" customHeight="1" x14ac:dyDescent="0.2">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25">
      <c r="A32" s="92"/>
      <c r="B32" s="144"/>
      <c r="C32" s="144"/>
      <c r="D32" s="166"/>
      <c r="E32" s="170" t="str">
        <f>Translations!$B$561</f>
        <v>Emissions</v>
      </c>
      <c r="F32" s="138"/>
      <c r="G32" s="848" t="str">
        <f>CONST_tCO2eq</f>
        <v>tCO2e</v>
      </c>
      <c r="H32" s="140" t="str">
        <f>IF(CNTR_HasEntriesA,SUM(B_EmInst!AU17:AU91),"")</f>
        <v/>
      </c>
      <c r="I32" s="140" t="str">
        <f>IF(CNTR_HasEntriesA,K27,"")</f>
        <v/>
      </c>
      <c r="J32" s="140" t="str">
        <f>IF(CNTR_HasEntriesA,SUM(B_EmInst!AU113:AU122),"")</f>
        <v/>
      </c>
      <c r="K32" s="140" t="str">
        <f>IF(CNTR_HasEntriesA,SUM(L27)-SUM(H32:J32),"")</f>
        <v/>
      </c>
      <c r="L32" s="144"/>
      <c r="M32" s="144"/>
      <c r="N32" s="144"/>
      <c r="O32" s="428"/>
      <c r="P32" s="144"/>
    </row>
    <row r="33" spans="1:24" ht="5.0999999999999996" customHeight="1" x14ac:dyDescent="0.25">
      <c r="A33" s="92"/>
      <c r="B33" s="144"/>
      <c r="C33" s="144"/>
      <c r="D33" s="166"/>
      <c r="E33" s="167"/>
      <c r="F33" s="167"/>
      <c r="G33" s="168"/>
      <c r="H33" s="144"/>
      <c r="I33" s="144"/>
      <c r="J33" s="144"/>
      <c r="K33" s="144"/>
      <c r="L33" s="144"/>
      <c r="M33" s="144"/>
      <c r="N33" s="144"/>
      <c r="O33" s="428"/>
      <c r="P33" s="144"/>
    </row>
    <row r="34" spans="1:24" ht="12.75" customHeight="1" x14ac:dyDescent="0.25">
      <c r="A34" s="92"/>
      <c r="B34" s="144"/>
      <c r="C34" s="144"/>
      <c r="D34" s="10" t="s">
        <v>49</v>
      </c>
      <c r="E34" s="1263" t="str">
        <f>Translations!$B$1855</f>
        <v>Information on the data quality and quality assurance</v>
      </c>
      <c r="F34" s="1263"/>
      <c r="G34" s="1263"/>
      <c r="H34" s="1263"/>
      <c r="I34" s="1263"/>
      <c r="J34" s="1263"/>
      <c r="K34" s="1263"/>
      <c r="L34" s="1263"/>
      <c r="M34" s="1263"/>
      <c r="N34" s="1263"/>
      <c r="O34" s="428"/>
      <c r="P34" s="144"/>
    </row>
    <row r="35" spans="1:24" ht="5.0999999999999996" customHeight="1" x14ac:dyDescent="0.25">
      <c r="A35" s="92"/>
      <c r="B35" s="144"/>
      <c r="C35" s="144"/>
      <c r="D35" s="144"/>
      <c r="E35" s="1292"/>
      <c r="F35" s="1292"/>
      <c r="G35" s="1292"/>
      <c r="H35" s="1292"/>
      <c r="I35" s="1292"/>
      <c r="J35" s="1292"/>
      <c r="K35" s="1292"/>
      <c r="L35" s="1292"/>
      <c r="M35" s="1292"/>
      <c r="N35" s="1292"/>
      <c r="O35" s="428"/>
      <c r="P35" s="144"/>
    </row>
    <row r="36" spans="1:24" ht="25.5" customHeight="1" x14ac:dyDescent="0.2">
      <c r="A36" s="92"/>
      <c r="B36" s="144"/>
      <c r="C36" s="144"/>
      <c r="D36" s="144"/>
      <c r="E36" s="804" t="str">
        <f>Translations!$B$1856</f>
        <v>General information on data quality:</v>
      </c>
      <c r="F36" s="1301" t="str">
        <f>Translations!$B$1857</f>
        <v>Please select from the hierarchical order (descending order) in the drop-down list the predominant approach for determining the installation's direct emissions.</v>
      </c>
      <c r="G36" s="1301"/>
      <c r="H36" s="1301"/>
      <c r="I36" s="1301"/>
      <c r="J36" s="1301"/>
      <c r="K36" s="1301"/>
      <c r="L36" s="1301"/>
      <c r="M36" s="1302"/>
      <c r="N36" s="1302"/>
      <c r="O36" s="428"/>
      <c r="P36" s="144"/>
      <c r="S36" s="110"/>
    </row>
    <row r="37" spans="1:24" ht="25.5" customHeight="1" x14ac:dyDescent="0.2">
      <c r="A37" s="92"/>
      <c r="B37" s="144"/>
      <c r="C37" s="144"/>
      <c r="D37" s="144"/>
      <c r="E37" s="805" t="str">
        <f>Translations!$B$1858</f>
        <v>Justification for use of default values (if relevant):</v>
      </c>
      <c r="F37" s="1303" t="str">
        <f>Translations!$B$1859</f>
        <v>If the predominant method was to use default values published by the European Commission, please select from the drop-down list the most appropriate justification for not achieving higher data quality.</v>
      </c>
      <c r="G37" s="1304"/>
      <c r="H37" s="1304"/>
      <c r="I37" s="1304"/>
      <c r="J37" s="1304"/>
      <c r="K37" s="1304"/>
      <c r="L37" s="1304"/>
      <c r="M37" s="1304"/>
      <c r="N37" s="1304"/>
      <c r="O37" s="428"/>
      <c r="P37" s="144"/>
      <c r="S37" s="110"/>
    </row>
    <row r="38" spans="1:24" ht="25.5" customHeight="1" x14ac:dyDescent="0.2">
      <c r="A38" s="92"/>
      <c r="B38" s="144"/>
      <c r="C38" s="144"/>
      <c r="D38" s="144"/>
      <c r="E38" s="806" t="str">
        <f>Translations!$B$1860</f>
        <v>Information on quality assurance:</v>
      </c>
      <c r="F38" s="1305" t="str">
        <f>Translations!$B$1886</f>
        <v>Please select from the hierarchical order (descending order) in the drop-down list the approach for quality assurance of emissions data.</v>
      </c>
      <c r="G38" s="1306"/>
      <c r="H38" s="1306"/>
      <c r="I38" s="1306"/>
      <c r="J38" s="1306"/>
      <c r="K38" s="1306"/>
      <c r="L38" s="1306"/>
      <c r="M38" s="1306"/>
      <c r="N38" s="1306"/>
      <c r="O38" s="428"/>
      <c r="P38" s="144"/>
      <c r="S38" s="110"/>
    </row>
    <row r="39" spans="1:24" ht="5.0999999999999996" customHeight="1" x14ac:dyDescent="0.2">
      <c r="A39" s="92"/>
      <c r="B39" s="144"/>
      <c r="C39" s="144"/>
      <c r="D39" s="144"/>
      <c r="E39" s="144"/>
      <c r="F39" s="144"/>
      <c r="G39" s="144"/>
      <c r="H39" s="144"/>
      <c r="I39" s="144"/>
      <c r="J39" s="144"/>
      <c r="K39" s="144"/>
      <c r="L39" s="144"/>
      <c r="M39" s="144"/>
      <c r="N39" s="144"/>
      <c r="O39" s="428"/>
      <c r="P39" s="144"/>
      <c r="S39" s="110"/>
    </row>
    <row r="40" spans="1:24" ht="12.75" customHeight="1" x14ac:dyDescent="0.25">
      <c r="A40" s="92"/>
      <c r="B40" s="144"/>
      <c r="C40" s="144"/>
      <c r="D40" s="166" t="s">
        <v>41</v>
      </c>
      <c r="E40" s="133" t="str">
        <f>Translations!$B$1856</f>
        <v>General information on data quality:</v>
      </c>
      <c r="F40" s="133"/>
      <c r="G40" s="133"/>
      <c r="H40" s="1293"/>
      <c r="I40" s="1294"/>
      <c r="J40" s="1294"/>
      <c r="K40" s="1294"/>
      <c r="L40" s="1294"/>
      <c r="M40" s="1294"/>
      <c r="N40" s="1295"/>
      <c r="O40" s="428"/>
      <c r="P40" s="144"/>
      <c r="R40" s="105" t="str">
        <f>IF(H40="","",MATCH(H40,CONST_DataQuality,0))</f>
        <v/>
      </c>
    </row>
    <row r="41" spans="1:24" ht="12.75" customHeight="1" x14ac:dyDescent="0.25">
      <c r="A41" s="92"/>
      <c r="B41" s="144"/>
      <c r="C41" s="144"/>
      <c r="D41" s="166" t="s">
        <v>42</v>
      </c>
      <c r="E41" s="136" t="str">
        <f>Translations!$B$1858</f>
        <v>Justification for use of default values (if relevant):</v>
      </c>
      <c r="F41" s="136"/>
      <c r="G41" s="136"/>
      <c r="H41" s="1296"/>
      <c r="I41" s="1297"/>
      <c r="J41" s="1297"/>
      <c r="K41" s="1297"/>
      <c r="L41" s="1297"/>
      <c r="M41" s="1297"/>
      <c r="N41" s="1298"/>
      <c r="O41" s="428"/>
      <c r="P41" s="144"/>
      <c r="R41" s="105" t="str">
        <f>IF(H41="","",MATCH(H41,CONST_DataQualityJustification,0))</f>
        <v/>
      </c>
      <c r="X41" s="102" t="b">
        <f>IF(H40="",FALSE,H40&lt;&gt;INDEX(CONST_DataQuality,5))</f>
        <v>0</v>
      </c>
    </row>
    <row r="42" spans="1:24" ht="12.75" customHeight="1" x14ac:dyDescent="0.25">
      <c r="A42" s="92"/>
      <c r="B42" s="144"/>
      <c r="C42" s="144"/>
      <c r="D42" s="166" t="s">
        <v>43</v>
      </c>
      <c r="E42" s="170" t="str">
        <f>Translations!$B$1860</f>
        <v>Information on quality assurance:</v>
      </c>
      <c r="F42" s="138"/>
      <c r="G42" s="138"/>
      <c r="H42" s="1299"/>
      <c r="I42" s="1300"/>
      <c r="J42" s="1300"/>
      <c r="K42" s="1300"/>
      <c r="L42" s="1300"/>
      <c r="M42" s="1300"/>
      <c r="N42" s="1300"/>
      <c r="O42" s="428"/>
      <c r="P42" s="144"/>
      <c r="R42" s="105" t="str">
        <f>IF(H42="","",MATCH(H42,CONST_DataVerification,0))</f>
        <v/>
      </c>
    </row>
    <row r="43" spans="1:24" s="144" customFormat="1" ht="12.75" customHeight="1" thickBot="1" x14ac:dyDescent="0.3">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25">
      <c r="A44" s="91"/>
      <c r="P44" s="94"/>
      <c r="Q44" s="93"/>
      <c r="R44" s="91"/>
      <c r="S44" s="91"/>
      <c r="T44" s="91"/>
      <c r="U44" s="91"/>
      <c r="V44" s="91"/>
      <c r="W44" s="91"/>
      <c r="X44" s="91"/>
    </row>
    <row r="45" spans="1:24" s="91" customFormat="1" ht="12.75" hidden="1" customHeight="1" x14ac:dyDescent="0.25">
      <c r="A45" s="91" t="s">
        <v>3</v>
      </c>
      <c r="P45" s="92" t="s">
        <v>116</v>
      </c>
    </row>
    <row r="46" spans="1:24" s="91" customFormat="1" ht="12.75" hidden="1" customHeight="1" x14ac:dyDescent="0.25">
      <c r="A46" s="91" t="s">
        <v>3</v>
      </c>
      <c r="P46" s="92"/>
    </row>
    <row r="47" spans="1:24" s="91" customFormat="1" ht="12.75" hidden="1" customHeight="1" x14ac:dyDescent="0.25">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2" sqref="B2:D5"/>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2" width="11.42578125" style="91" hidden="1" customWidth="1"/>
    <col min="23" max="23" width="11.42578125" style="104" hidden="1" customWidth="1"/>
    <col min="24" max="24" width="11.42578125" style="91" hidden="1" customWidth="1"/>
    <col min="25" max="16384" width="11.42578125" style="93"/>
  </cols>
  <sheetData>
    <row r="1" spans="1:24" s="91" customFormat="1" ht="14.1" hidden="1" customHeight="1" thickBot="1" x14ac:dyDescent="0.3">
      <c r="A1" s="91" t="s">
        <v>3</v>
      </c>
      <c r="P1" s="91" t="s">
        <v>3</v>
      </c>
      <c r="Q1" s="91" t="s">
        <v>3</v>
      </c>
      <c r="R1" s="91" t="s">
        <v>3</v>
      </c>
      <c r="S1" s="91" t="s">
        <v>3</v>
      </c>
      <c r="T1" s="91" t="s">
        <v>3</v>
      </c>
      <c r="U1" s="91" t="s">
        <v>3</v>
      </c>
      <c r="V1" s="91" t="s">
        <v>3</v>
      </c>
      <c r="W1" s="91" t="s">
        <v>3</v>
      </c>
      <c r="X1" s="91" t="s">
        <v>3</v>
      </c>
    </row>
    <row r="2" spans="1:24" ht="14.1" customHeight="1" thickBot="1" x14ac:dyDescent="0.3">
      <c r="B2" s="1166" t="str">
        <f>Translations!$B$240</f>
        <v>Production processes</v>
      </c>
      <c r="C2" s="1167"/>
      <c r="D2" s="1168"/>
      <c r="E2" s="1324" t="str">
        <f>Translations!$B$11</f>
        <v>Navigation Area:</v>
      </c>
      <c r="F2" s="1176"/>
      <c r="G2" s="1163" t="str">
        <f ca="1">HYPERLINK("#"&amp;ADDRESS(2,3,,,a_Contents!$U$2),a_Contents!$B$2)</f>
        <v>Table of contents</v>
      </c>
      <c r="H2" s="1164"/>
      <c r="I2" s="1163" t="str">
        <f ca="1">HYPERLINK("#"&amp;ADDRESS(MATCH($S13,G_FurtherGuidance!$S:$S,0),3,,,G_FurtherGuidance!$U$2),G_FurtherGuidance!$B$2)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25">
      <c r="B3" s="1169"/>
      <c r="C3" s="1170"/>
      <c r="D3" s="1171"/>
      <c r="E3" s="1321"/>
      <c r="F3" s="1322"/>
      <c r="G3" s="1323" t="str">
        <f>IF(INDEX(CNTR_List_ExistProdProcNames,R3)=CONST_NA,"",HYPERLINK("#"&amp;ADDRESS(ROW($C$11)+MATCH(R3,$C$11:$C$662,0)-1,COLUMN($C$11)),INDEX(CNTR_List_ExistProdProcNames,R3)))</f>
        <v/>
      </c>
      <c r="H3" s="1322"/>
      <c r="I3" s="1323" t="str">
        <f>IF(INDEX(CNTR_List_ExistProdProcNames,T3)=CONST_NA,"",HYPERLINK("#"&amp;ADDRESS(ROW($C$11)+MATCH(T3,$C$11:$C$662,0)-1,COLUMN($C$11)),INDEX(CNTR_List_ExistProdProcNames,T3)))</f>
        <v/>
      </c>
      <c r="J3" s="1322"/>
      <c r="K3" s="1322" t="str">
        <f>IF(INDEX(CNTR_List_ExistProdProcNames,V3)=CONST_NA,"",HYPERLINK("#"&amp;ADDRESS(ROW($C$11)+MATCH(V3,$C$11:$C$662,0)-1,COLUMN($C$11)),INDEX(CNTR_List_ExistProdProcNames,V3)))</f>
        <v/>
      </c>
      <c r="L3" s="1322"/>
      <c r="M3" s="1322" t="str">
        <f>IF(INDEX(CNTR_List_ExistProdProcNames,X3)=CONST_NA,"",HYPERLINK("#"&amp;ADDRESS(ROW($C$11)+MATCH(X3,$C$11:$C$662,0)-1,COLUMN($C$11)),INDEX(CNTR_List_ExistProdProcNames,X3)))</f>
        <v/>
      </c>
      <c r="N3" s="1322"/>
      <c r="O3" s="901"/>
      <c r="P3" s="144"/>
      <c r="R3" s="302">
        <v>1</v>
      </c>
      <c r="S3" s="303"/>
      <c r="T3" s="303">
        <v>2</v>
      </c>
      <c r="U3" s="303"/>
      <c r="V3" s="303">
        <v>3</v>
      </c>
      <c r="W3" s="303"/>
      <c r="X3" s="304">
        <v>4</v>
      </c>
    </row>
    <row r="4" spans="1:24" ht="14.1" customHeight="1" x14ac:dyDescent="0.25">
      <c r="B4" s="1169"/>
      <c r="C4" s="1170"/>
      <c r="D4" s="1171"/>
      <c r="E4" s="1320"/>
      <c r="F4" s="1165"/>
      <c r="G4" s="1165" t="str">
        <f>IF(INDEX(CNTR_List_ExistProdProcNames,R4)=CONST_NA,"",HYPERLINK("#"&amp;ADDRESS(ROW($C$11)+MATCH(R4,$C$11:$C$662,0)-1,COLUMN($C$11)),INDEX(CNTR_List_ExistProdProcNames,R4)))</f>
        <v/>
      </c>
      <c r="H4" s="1165"/>
      <c r="I4" s="1165" t="str">
        <f>IF(INDEX(CNTR_List_ExistProdProcNames,T4)=CONST_NA,"",HYPERLINK("#"&amp;ADDRESS(ROW($C$11)+MATCH(T4,$C$11:$C$662,0)-1,COLUMN($C$11)),INDEX(CNTR_List_ExistProdProcNames,T4)))</f>
        <v/>
      </c>
      <c r="J4" s="1165"/>
      <c r="K4" s="1165" t="str">
        <f>IF(INDEX(CNTR_List_ExistProdProcNames,V4)=CONST_NA,"",HYPERLINK("#"&amp;ADDRESS(ROW($C$11)+MATCH(V4,$C$11:$C$662,0)-1,COLUMN($C$11)),INDEX(CNTR_List_ExistProdProcNames,V4)))</f>
        <v/>
      </c>
      <c r="L4" s="1165"/>
      <c r="M4" s="1165" t="str">
        <f>IF(INDEX(CNTR_List_ExistProdProcNames,X4)=CONST_NA,"",HYPERLINK("#"&amp;ADDRESS(ROW($C$11)+MATCH(X4,$C$11:$C$662,0)-1,COLUMN($C$11)),INDEX(CNTR_List_ExistProdProcNames,X4)))</f>
        <v/>
      </c>
      <c r="N4" s="1165"/>
      <c r="O4" s="901"/>
      <c r="P4" s="144"/>
      <c r="R4" s="305">
        <v>5</v>
      </c>
      <c r="S4" s="156"/>
      <c r="T4" s="156">
        <v>6</v>
      </c>
      <c r="U4" s="156"/>
      <c r="V4" s="156">
        <v>7</v>
      </c>
      <c r="W4" s="156"/>
      <c r="X4" s="306">
        <v>8</v>
      </c>
    </row>
    <row r="5" spans="1:24" ht="14.1" customHeight="1" thickBot="1" x14ac:dyDescent="0.3">
      <c r="B5" s="1172"/>
      <c r="C5" s="1173"/>
      <c r="D5" s="1174"/>
      <c r="E5" s="1320"/>
      <c r="F5" s="1165"/>
      <c r="G5" s="1165" t="str">
        <f>IF(INDEX(CNTR_List_ExistProdProcNames,R5)=CONST_NA,"",HYPERLINK("#"&amp;ADDRESS(ROW($C$11)+MATCH(R5,$C$11:$C$662,0)-1,COLUMN($C$11)),INDEX(CNTR_List_ExistProdProcNames,R5)))</f>
        <v/>
      </c>
      <c r="H5" s="1165"/>
      <c r="I5" s="1165" t="str">
        <f>IF(INDEX(CNTR_List_ExistProdProcNames,T5)=CONST_NA,"",HYPERLINK("#"&amp;ADDRESS(ROW($C$11)+MATCH(T5,$C$11:$C$662,0)-1,COLUMN($C$11)),INDEX(CNTR_List_ExistProdProcNames,T5)))</f>
        <v/>
      </c>
      <c r="J5" s="1165"/>
      <c r="K5" s="1165"/>
      <c r="L5" s="1165"/>
      <c r="M5" s="1165"/>
      <c r="N5" s="1165"/>
      <c r="O5" s="901"/>
      <c r="P5" s="144"/>
      <c r="R5" s="307">
        <v>9</v>
      </c>
      <c r="S5" s="308"/>
      <c r="T5" s="308">
        <v>10</v>
      </c>
      <c r="U5" s="308"/>
      <c r="V5" s="308"/>
      <c r="W5" s="308"/>
      <c r="X5" s="309"/>
    </row>
    <row r="6" spans="1:24" ht="5.0999999999999996" customHeight="1" x14ac:dyDescent="0.25">
      <c r="O6" s="901"/>
      <c r="P6" s="144"/>
    </row>
    <row r="7" spans="1:24" ht="25.5" customHeight="1" x14ac:dyDescent="0.25">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25">
      <c r="O8" s="901"/>
      <c r="P8" s="144"/>
    </row>
    <row r="9" spans="1:24" ht="18" customHeight="1" x14ac:dyDescent="0.25">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
      <c r="O10" s="901"/>
      <c r="P10" s="144"/>
    </row>
    <row r="11" spans="1:24" ht="18" customHeight="1" thickBot="1" x14ac:dyDescent="0.3">
      <c r="C11" s="147">
        <v>1</v>
      </c>
      <c r="D11" s="148" t="str">
        <f>CONST_ProductionProcess &amp; " " &amp; C11 &amp; ":"</f>
        <v>Production process 1:</v>
      </c>
      <c r="G11" s="1310" t="str">
        <f>IF(INDEX(CNTR_List_ExistProdProcNames,R11)=CONST_NA,"",INDEX(CNTR_List_ExistProdProcNames,R11))</f>
        <v/>
      </c>
      <c r="H11" s="1311"/>
      <c r="I11" s="1311"/>
      <c r="J11" s="1311"/>
      <c r="K11" s="1312"/>
      <c r="L11" s="1313" t="str">
        <f>IF(INDEX(CNTR_List_ExistProdProc,R11)=CONST_NA,"",INDEX(CNTR_List_ExistProdProc,R11))</f>
        <v/>
      </c>
      <c r="M11" s="1314"/>
      <c r="N11" s="1315"/>
      <c r="O11" s="901"/>
      <c r="P11" s="144"/>
      <c r="R11" s="149">
        <f>C11</f>
        <v>1</v>
      </c>
      <c r="W11" s="104" t="s">
        <v>2748</v>
      </c>
      <c r="X11" s="150" t="b">
        <f>AND(CNTR_HasEntriesA,G11="")</f>
        <v>0</v>
      </c>
    </row>
    <row r="12" spans="1:24" ht="5.0999999999999996" customHeight="1" x14ac:dyDescent="0.25">
      <c r="D12" s="103"/>
      <c r="E12" s="100"/>
      <c r="O12" s="901"/>
      <c r="P12" s="144"/>
    </row>
    <row r="13" spans="1:24" ht="12.75" customHeight="1" x14ac:dyDescent="0.25">
      <c r="D13" s="103"/>
      <c r="E13" s="1289" t="str">
        <f ca="1">HYPERLINK("#"&amp;ADDRESS(MATCH($S13,G_FurtherGuidance!$S:$S,0),3,,,G_FurtherGuidance!$U$2),CONST_LinkToGuidanceSheet)</f>
        <v>Please click on this link for further guidance on how to complete this section.</v>
      </c>
      <c r="F13" s="1316"/>
      <c r="G13" s="1316"/>
      <c r="H13" s="1316"/>
      <c r="I13" s="1316"/>
      <c r="J13" s="1316"/>
      <c r="K13" s="1316"/>
      <c r="L13" s="1316"/>
      <c r="M13" s="1316"/>
      <c r="O13" s="901"/>
      <c r="P13" s="144"/>
      <c r="R13" s="104" t="s">
        <v>2771</v>
      </c>
      <c r="S13" s="105">
        <v>3</v>
      </c>
    </row>
    <row r="14" spans="1:24" ht="5.0999999999999996" customHeight="1" x14ac:dyDescent="0.25">
      <c r="D14" s="103"/>
      <c r="E14" s="100"/>
      <c r="O14" s="901"/>
      <c r="P14" s="144"/>
    </row>
    <row r="15" spans="1:24" ht="12.75" customHeight="1" x14ac:dyDescent="0.25">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25">
      <c r="D16" s="173">
        <v>1</v>
      </c>
      <c r="E16" s="153" t="str">
        <f>IF(G11="","",G11) &amp; IF(L11="",""," | " &amp; L11)</f>
        <v/>
      </c>
      <c r="F16" s="153"/>
      <c r="G16" s="153"/>
      <c r="H16" s="154" t="str">
        <f>IF(L11="","",INDEX(CONST_MATRIX_ProductionRoute,MATCH(L11,CONST_LIST_Goods,0),D16))</f>
        <v/>
      </c>
      <c r="I16" s="153"/>
      <c r="J16" s="153"/>
      <c r="K16" s="155" t="str">
        <f>IF(L11="","",INDEX(CONST_LIST_GoodsUnit,MATCH(L11,CONST_LIST_Goods,0)))</f>
        <v/>
      </c>
      <c r="L16" s="29"/>
      <c r="O16" s="902"/>
      <c r="P16" s="144"/>
      <c r="S16" s="105">
        <v>1</v>
      </c>
      <c r="T16" s="156"/>
      <c r="V16" s="157" t="str">
        <f>IF(AND(G11&lt;&gt;"",E16&lt;&gt;"",L16&lt;&gt;""),TRUE,IF(AND(G11&lt;&gt;"",OR(AND(E16&lt;&gt;"",L16=""),AND(E16="",L16&lt;&gt;""))),CONST_ErrorOrMissing&amp;C11,CONST_NA))</f>
        <v>n.a.</v>
      </c>
    </row>
    <row r="17" spans="1:24" ht="12.75" customHeight="1" x14ac:dyDescent="0.25">
      <c r="D17" s="173">
        <v>2</v>
      </c>
      <c r="E17" s="158" t="str">
        <f t="shared" ref="E17:E23" si="0">IF(H17=CONST_NA,"",E16)</f>
        <v/>
      </c>
      <c r="F17" s="158"/>
      <c r="G17" s="158"/>
      <c r="H17" s="159" t="str">
        <f>IF(L11="","",INDEX(CONST_MATRIX_ProductionRoute,MATCH(L11,CONST_LIST_Goods,0),D17))</f>
        <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25">
      <c r="D18" s="173">
        <v>3</v>
      </c>
      <c r="E18" s="158" t="str">
        <f t="shared" si="0"/>
        <v/>
      </c>
      <c r="F18" s="158"/>
      <c r="G18" s="158"/>
      <c r="H18" s="159" t="str">
        <f>IF(L11="","",INDEX(CONST_MATRIX_ProductionRoute,MATCH(L11,CONST_LIST_Goods,0),D18))</f>
        <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25">
      <c r="D19" s="173">
        <v>4</v>
      </c>
      <c r="E19" s="158" t="str">
        <f t="shared" si="0"/>
        <v/>
      </c>
      <c r="F19" s="158"/>
      <c r="G19" s="158"/>
      <c r="H19" s="159" t="str">
        <f>IF(L11="","",INDEX(CONST_MATRIX_ProductionRoute,MATCH(L11,CONST_LIST_Goods,0),D19))</f>
        <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25">
      <c r="D20" s="173">
        <v>5</v>
      </c>
      <c r="E20" s="158" t="str">
        <f t="shared" si="0"/>
        <v/>
      </c>
      <c r="F20" s="158"/>
      <c r="G20" s="158"/>
      <c r="H20" s="159" t="str">
        <f>IF(L11="","",INDEX(CONST_MATRIX_ProductionRoute,MATCH(L11,CONST_LIST_Goods,0),D20))</f>
        <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25">
      <c r="D21" s="173">
        <v>6</v>
      </c>
      <c r="E21" s="158" t="str">
        <f t="shared" si="0"/>
        <v/>
      </c>
      <c r="F21" s="158"/>
      <c r="G21" s="158"/>
      <c r="H21" s="159" t="str">
        <f>IF(L11="","",INDEX(CONST_MATRIX_ProductionRoute,MATCH(L11,CONST_LIST_Goods,0),D21))</f>
        <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25">
      <c r="D22" s="173">
        <v>7</v>
      </c>
      <c r="E22" s="158" t="str">
        <f t="shared" si="0"/>
        <v/>
      </c>
      <c r="F22" s="158"/>
      <c r="G22" s="158"/>
      <c r="H22" s="159" t="str">
        <f>IF(L11="","",INDEX(CONST_MATRIX_ProductionRoute,MATCH(L11,CONST_LIST_Goods,0),D22))</f>
        <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25">
      <c r="D23" s="173">
        <v>8</v>
      </c>
      <c r="E23" s="161" t="str">
        <f t="shared" si="0"/>
        <v/>
      </c>
      <c r="F23" s="161"/>
      <c r="G23" s="161"/>
      <c r="H23" s="162" t="str">
        <f>IF(L11="","",INDEX(CONST_MATRIX_ProductionRoute,MATCH(L11,CONST_LIST_Goods,0),D23))</f>
        <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25">
      <c r="D24" s="103"/>
      <c r="E24" s="138" t="str">
        <f>Translations!$B$246</f>
        <v>Total production within installation (= denominator for SEE calculation):</v>
      </c>
      <c r="F24" s="138"/>
      <c r="G24" s="138"/>
      <c r="H24" s="164"/>
      <c r="I24" s="138"/>
      <c r="J24" s="138"/>
      <c r="K24" s="165" t="str">
        <f>K16</f>
        <v/>
      </c>
      <c r="L24" s="140" t="str">
        <f>IF(G11="","",SUM(L16:L23))</f>
        <v/>
      </c>
      <c r="O24" s="901"/>
      <c r="P24" s="144"/>
      <c r="R24" s="102" t="str">
        <f>CONST_CNTR_TotProd&amp;G11</f>
        <v>TotProd_</v>
      </c>
      <c r="T24" s="124" t="str">
        <f>IF(G11="","",L24)</f>
        <v/>
      </c>
    </row>
    <row r="25" spans="1:24" s="144" customFormat="1" ht="5.0999999999999996" customHeight="1" x14ac:dyDescent="0.25">
      <c r="A25" s="91"/>
      <c r="B25" s="93"/>
      <c r="C25" s="93"/>
      <c r="D25" s="166"/>
      <c r="E25" s="167"/>
      <c r="N25" s="93"/>
      <c r="O25" s="901"/>
      <c r="Q25" s="93"/>
      <c r="R25" s="91"/>
      <c r="S25" s="91"/>
      <c r="T25" s="712"/>
      <c r="U25" s="91"/>
      <c r="V25" s="91"/>
      <c r="W25" s="104"/>
      <c r="X25" s="91"/>
    </row>
    <row r="26" spans="1:24" s="144" customFormat="1" ht="12.75" customHeight="1" x14ac:dyDescent="0.25">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25">
      <c r="A27" s="91"/>
      <c r="B27" s="93"/>
      <c r="C27" s="93"/>
      <c r="D27" s="132" t="s">
        <v>41</v>
      </c>
      <c r="E27" s="138" t="str">
        <f>Translations!$B$248</f>
        <v>Produced for the market</v>
      </c>
      <c r="F27" s="138"/>
      <c r="G27" s="138"/>
      <c r="H27" s="138"/>
      <c r="I27" s="138"/>
      <c r="J27" s="138"/>
      <c r="K27" s="169" t="str">
        <f>K16</f>
        <v/>
      </c>
      <c r="L27" s="211"/>
      <c r="N27" s="93"/>
      <c r="O27" s="902"/>
      <c r="Q27" s="93"/>
      <c r="R27" s="102" t="str">
        <f>CONST_GoodToMarket&amp;G11</f>
        <v>ToMarket_</v>
      </c>
      <c r="S27" s="91"/>
      <c r="T27" s="124" t="str">
        <f>IF($G$11="","",L27)</f>
        <v/>
      </c>
      <c r="U27" s="91"/>
      <c r="V27" s="157" t="str">
        <f>IF(AND(G11&lt;&gt;"",L27&lt;&gt;""),TRUE,IF(AND(G11&lt;&gt;"",OR(L27="",L16&lt;&gt;"")),CONST_ErrorOrMissing&amp;C11,CONST_NA))</f>
        <v>n.a.</v>
      </c>
      <c r="W27" s="104"/>
      <c r="X27" s="91"/>
    </row>
    <row r="28" spans="1:24" s="144" customFormat="1" ht="12.75" customHeight="1" x14ac:dyDescent="0.25">
      <c r="A28" s="91"/>
      <c r="B28" s="93"/>
      <c r="C28" s="93"/>
      <c r="D28" s="132" t="s">
        <v>42</v>
      </c>
      <c r="E28" s="133" t="str">
        <f>Translations!$B$249</f>
        <v>Share of total under (a) produced for the market</v>
      </c>
      <c r="F28" s="288"/>
      <c r="G28" s="288"/>
      <c r="H28" s="288"/>
      <c r="I28" s="288"/>
      <c r="J28" s="288"/>
      <c r="K28" s="288"/>
      <c r="L28" s="289" t="str">
        <f>IF(AND(COUNT(L24,L27)=2,SUM(L24&gt;0)),SUM(L27)/SUM(L24),"")</f>
        <v/>
      </c>
      <c r="N28" s="93"/>
      <c r="O28" s="901"/>
      <c r="Q28" s="93"/>
      <c r="R28" s="171"/>
      <c r="S28" s="91"/>
      <c r="T28" s="712"/>
      <c r="U28" s="91"/>
      <c r="V28" s="172"/>
      <c r="W28" s="104"/>
      <c r="X28" s="91"/>
    </row>
    <row r="29" spans="1:24" s="144" customFormat="1" ht="12.75" customHeight="1" x14ac:dyDescent="0.25">
      <c r="A29" s="91"/>
      <c r="B29" s="93"/>
      <c r="C29" s="93"/>
      <c r="D29" s="132" t="s">
        <v>43</v>
      </c>
      <c r="E29" s="136" t="str">
        <f>Translations!$B$250</f>
        <v>Total production only for the market?</v>
      </c>
      <c r="F29" s="290"/>
      <c r="G29" s="290"/>
      <c r="H29" s="290"/>
      <c r="I29" s="290"/>
      <c r="J29" s="290"/>
      <c r="K29" s="290"/>
      <c r="L29" s="291" t="str">
        <f>IF(G11="","",AND(SUM(L24)&gt;0,SUM(L24)=SUM(L27)))</f>
        <v/>
      </c>
      <c r="N29" s="93"/>
      <c r="O29" s="901"/>
      <c r="Q29" s="93"/>
      <c r="R29" s="171"/>
      <c r="S29" s="91"/>
      <c r="T29" s="712"/>
      <c r="U29" s="91"/>
      <c r="V29" s="91"/>
      <c r="W29" s="104"/>
      <c r="X29" s="91"/>
    </row>
    <row r="30" spans="1:24" s="144" customFormat="1" ht="5.0999999999999996" customHeight="1" x14ac:dyDescent="0.25">
      <c r="A30" s="91"/>
      <c r="B30" s="93"/>
      <c r="C30" s="93"/>
      <c r="D30" s="166"/>
      <c r="E30" s="167"/>
      <c r="N30" s="93"/>
      <c r="O30" s="901"/>
      <c r="Q30" s="93"/>
      <c r="R30" s="91"/>
      <c r="S30" s="91"/>
      <c r="T30" s="712"/>
      <c r="U30" s="91"/>
      <c r="V30" s="91"/>
      <c r="W30" s="104"/>
      <c r="X30" s="91"/>
    </row>
    <row r="31" spans="1:24" s="144" customFormat="1" ht="12.75" customHeight="1" x14ac:dyDescent="0.25">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25">
      <c r="A32" s="91"/>
      <c r="B32" s="93"/>
      <c r="C32" s="93"/>
      <c r="D32" s="173">
        <v>1</v>
      </c>
      <c r="E32" s="174" t="str">
        <f t="shared" ref="E32:E40" si="2">IF(INDEX(CNTR_List_ExistProdProcNames,S32)=CONST_NA,"",INDEX(CNTR_List_ExistProdProcNames,S32))</f>
        <v/>
      </c>
      <c r="F32" s="175"/>
      <c r="G32" s="175"/>
      <c r="H32" s="175"/>
      <c r="I32" s="175"/>
      <c r="J32" s="176"/>
      <c r="K32" s="155" t="str">
        <f>K16</f>
        <v/>
      </c>
      <c r="L32" s="29"/>
      <c r="N32" s="93"/>
      <c r="O32" s="902"/>
      <c r="Q32" s="93"/>
      <c r="R32" s="102" t="str">
        <f>CONST_PrecursorToGoodInput&amp;G11 &amp;"_"&amp;E32</f>
        <v>PrecToGood__</v>
      </c>
      <c r="S32" s="105">
        <f>MAX(S31:S31)+IF(D32=C11,2,1)</f>
        <v>2</v>
      </c>
      <c r="T32" s="124" t="str">
        <f>IF(G11="","",L32)</f>
        <v/>
      </c>
      <c r="U32" s="91"/>
      <c r="V32" s="157" t="str">
        <f>IF(AND(G11&lt;&gt;"",E32&lt;&gt;"",L32&lt;&gt;""),TRUE,IF(AND(G11&lt;&gt;"",E32&lt;&gt;"",L32="",X32=FALSE),CONST_ErrorOrMissing&amp;C11,CONST_NA))</f>
        <v>n.a.</v>
      </c>
      <c r="W32" s="104" t="s">
        <v>34</v>
      </c>
      <c r="X32" s="102" t="b">
        <f>IF(G11="",FALSE,OR(L29,E32=""))</f>
        <v>0</v>
      </c>
    </row>
    <row r="33" spans="1:24" s="144" customFormat="1" ht="12.75" customHeight="1" x14ac:dyDescent="0.25">
      <c r="A33" s="91"/>
      <c r="B33" s="93"/>
      <c r="C33" s="93"/>
      <c r="D33" s="173">
        <v>2</v>
      </c>
      <c r="E33" s="177" t="str">
        <f t="shared" si="2"/>
        <v/>
      </c>
      <c r="F33" s="178"/>
      <c r="G33" s="178"/>
      <c r="H33" s="178"/>
      <c r="I33" s="178"/>
      <c r="J33" s="179"/>
      <c r="K33" s="160" t="str">
        <f>K32</f>
        <v/>
      </c>
      <c r="L33" s="30"/>
      <c r="N33" s="93"/>
      <c r="O33" s="902"/>
      <c r="Q33" s="93"/>
      <c r="R33" s="102" t="str">
        <f>CONST_PrecursorToGoodInput&amp;G11 &amp;"_"&amp;E33</f>
        <v>PrecToGood__</v>
      </c>
      <c r="S33" s="105">
        <f>MAX(S31:S32)+IF(D33=C11,2,1)</f>
        <v>3</v>
      </c>
      <c r="T33" s="124" t="str">
        <f>IF(G11="","",L33)</f>
        <v/>
      </c>
      <c r="U33" s="91"/>
      <c r="V33" s="157" t="str">
        <f>IF(AND(G11&lt;&gt;"",E33&lt;&gt;"",L33&lt;&gt;""),TRUE,IF(AND(G11&lt;&gt;"",E33&lt;&gt;"",L33="",X33=FALSE),CONST_ErrorOrMissing&amp;C11,CONST_NA))</f>
        <v>n.a.</v>
      </c>
      <c r="W33" s="104"/>
      <c r="X33" s="102" t="b">
        <f>IF(G11="",FALSE,OR(L29,E33=""))</f>
        <v>0</v>
      </c>
    </row>
    <row r="34" spans="1:24" s="144" customFormat="1" ht="12.75" customHeight="1" x14ac:dyDescent="0.25">
      <c r="A34" s="91"/>
      <c r="B34" s="93"/>
      <c r="C34" s="93"/>
      <c r="D34" s="173">
        <v>3</v>
      </c>
      <c r="E34" s="177" t="str">
        <f t="shared" si="2"/>
        <v/>
      </c>
      <c r="F34" s="178"/>
      <c r="G34" s="178"/>
      <c r="H34" s="178"/>
      <c r="I34" s="178"/>
      <c r="J34" s="179"/>
      <c r="K34" s="160" t="str">
        <f t="shared" ref="K34:K42" si="3">K33</f>
        <v/>
      </c>
      <c r="L34" s="30"/>
      <c r="N34" s="93"/>
      <c r="O34" s="902"/>
      <c r="Q34" s="93"/>
      <c r="R34" s="102" t="str">
        <f>CONST_PrecursorToGoodInput&amp;G11 &amp;"_"&amp;E34</f>
        <v>PrecToGood__</v>
      </c>
      <c r="S34" s="105">
        <f>MAX(S31:S33)+IF(D34=C11,2,1)</f>
        <v>4</v>
      </c>
      <c r="T34" s="124" t="str">
        <f>IF(G11="","",L34)</f>
        <v/>
      </c>
      <c r="U34" s="91"/>
      <c r="V34" s="157" t="str">
        <f>IF(AND(G11&lt;&gt;"",E34&lt;&gt;"",L34&lt;&gt;""),TRUE,IF(AND(G11&lt;&gt;"",E34&lt;&gt;"",L34="",X34=FALSE),CONST_ErrorOrMissing&amp;C11,CONST_NA))</f>
        <v>n.a.</v>
      </c>
      <c r="W34" s="104"/>
      <c r="X34" s="102" t="b">
        <f>IF(G11="",FALSE,OR(L29,E34=""))</f>
        <v>0</v>
      </c>
    </row>
    <row r="35" spans="1:24" s="144" customFormat="1" ht="12.75" customHeight="1" x14ac:dyDescent="0.25">
      <c r="A35" s="91"/>
      <c r="B35" s="93"/>
      <c r="C35" s="93"/>
      <c r="D35" s="173">
        <v>4</v>
      </c>
      <c r="E35" s="177" t="str">
        <f t="shared" si="2"/>
        <v/>
      </c>
      <c r="F35" s="178"/>
      <c r="G35" s="178"/>
      <c r="H35" s="178"/>
      <c r="I35" s="178"/>
      <c r="J35" s="179"/>
      <c r="K35" s="160" t="str">
        <f t="shared" si="3"/>
        <v/>
      </c>
      <c r="L35" s="30"/>
      <c r="N35" s="93"/>
      <c r="O35" s="902"/>
      <c r="Q35" s="93"/>
      <c r="R35" s="102" t="str">
        <f>CONST_PrecursorToGoodInput&amp;G11 &amp;"_"&amp;E35</f>
        <v>PrecToGood__</v>
      </c>
      <c r="S35" s="105">
        <f>MAX(S31:S34)+IF(D35=C11,2,1)</f>
        <v>5</v>
      </c>
      <c r="T35" s="124" t="str">
        <f>IF(G11="","",L35)</f>
        <v/>
      </c>
      <c r="U35" s="91"/>
      <c r="V35" s="157" t="str">
        <f>IF(AND(G11&lt;&gt;"",E35&lt;&gt;"",L35&lt;&gt;""),TRUE,IF(AND(G11&lt;&gt;"",E35&lt;&gt;"",L35="",X35=FALSE),CONST_ErrorOrMissing&amp;C11,CONST_NA))</f>
        <v>n.a.</v>
      </c>
      <c r="W35" s="104"/>
      <c r="X35" s="102" t="b">
        <f>IF(G11="",FALSE,OR(L29,E35=""))</f>
        <v>0</v>
      </c>
    </row>
    <row r="36" spans="1:24" s="144" customFormat="1" ht="12.75" customHeight="1" x14ac:dyDescent="0.25">
      <c r="A36" s="91"/>
      <c r="B36" s="93"/>
      <c r="C36" s="93"/>
      <c r="D36" s="173">
        <v>5</v>
      </c>
      <c r="E36" s="180" t="str">
        <f t="shared" si="2"/>
        <v/>
      </c>
      <c r="F36" s="181"/>
      <c r="G36" s="181"/>
      <c r="H36" s="181"/>
      <c r="I36" s="181"/>
      <c r="J36" s="182"/>
      <c r="K36" s="183" t="str">
        <f t="shared" si="3"/>
        <v/>
      </c>
      <c r="L36" s="212"/>
      <c r="N36" s="93"/>
      <c r="O36" s="902"/>
      <c r="Q36" s="93"/>
      <c r="R36" s="102" t="str">
        <f>CONST_PrecursorToGoodInput&amp;G11 &amp;"_"&amp;E36</f>
        <v>PrecToGood__</v>
      </c>
      <c r="S36" s="105">
        <f>MAX(S31:S35)+IF(D36=C11,2,1)</f>
        <v>6</v>
      </c>
      <c r="T36" s="124" t="str">
        <f>IF(G11="","",L36)</f>
        <v/>
      </c>
      <c r="U36" s="91"/>
      <c r="V36" s="157" t="str">
        <f>IF(AND(G11&lt;&gt;"",E36&lt;&gt;"",L36&lt;&gt;""),TRUE,IF(AND(G11&lt;&gt;"",E36&lt;&gt;"",L36="",X36=FALSE),CONST_ErrorOrMissing&amp;C11,CONST_NA))</f>
        <v>n.a.</v>
      </c>
      <c r="W36" s="104"/>
      <c r="X36" s="102" t="b">
        <f>IF(G11="",FALSE,OR(L29,E36=""))</f>
        <v>0</v>
      </c>
    </row>
    <row r="37" spans="1:24" s="144" customFormat="1" ht="12.75" customHeight="1" x14ac:dyDescent="0.25">
      <c r="A37" s="91"/>
      <c r="B37" s="93"/>
      <c r="C37" s="93"/>
      <c r="D37" s="173">
        <v>6</v>
      </c>
      <c r="E37" s="180" t="str">
        <f t="shared" si="2"/>
        <v/>
      </c>
      <c r="F37" s="181"/>
      <c r="G37" s="181"/>
      <c r="H37" s="181"/>
      <c r="I37" s="181"/>
      <c r="J37" s="182"/>
      <c r="K37" s="183" t="str">
        <f t="shared" si="3"/>
        <v/>
      </c>
      <c r="L37" s="212"/>
      <c r="N37" s="93"/>
      <c r="O37" s="902"/>
      <c r="Q37" s="93"/>
      <c r="R37" s="102" t="str">
        <f>CONST_PrecursorToGoodInput&amp;G11 &amp;"_"&amp;E37</f>
        <v>PrecToGood__</v>
      </c>
      <c r="S37" s="105">
        <f>MAX(S31:S36)+IF(D37=C11,2,1)</f>
        <v>7</v>
      </c>
      <c r="T37" s="124" t="str">
        <f>IF(G11="","",L37)</f>
        <v/>
      </c>
      <c r="U37" s="91"/>
      <c r="V37" s="157" t="str">
        <f>IF(AND(G11&lt;&gt;"",E37&lt;&gt;"",L37&lt;&gt;""),TRUE,IF(AND(G11&lt;&gt;"",E37&lt;&gt;"",L37="",X37=FALSE),CONST_ErrorOrMissing&amp;C11,CONST_NA))</f>
        <v>n.a.</v>
      </c>
      <c r="W37" s="104"/>
      <c r="X37" s="102" t="b">
        <f>IF(G11="",FALSE,OR(L29,E37=""))</f>
        <v>0</v>
      </c>
    </row>
    <row r="38" spans="1:24" s="144" customFormat="1" ht="12.75" customHeight="1" x14ac:dyDescent="0.25">
      <c r="A38" s="91"/>
      <c r="B38" s="93"/>
      <c r="C38" s="93"/>
      <c r="D38" s="173">
        <v>7</v>
      </c>
      <c r="E38" s="180" t="str">
        <f t="shared" si="2"/>
        <v/>
      </c>
      <c r="F38" s="181"/>
      <c r="G38" s="181"/>
      <c r="H38" s="181"/>
      <c r="I38" s="181"/>
      <c r="J38" s="182"/>
      <c r="K38" s="183" t="str">
        <f t="shared" si="3"/>
        <v/>
      </c>
      <c r="L38" s="212"/>
      <c r="N38" s="93"/>
      <c r="O38" s="902"/>
      <c r="Q38" s="93"/>
      <c r="R38" s="102" t="str">
        <f>CONST_PrecursorToGoodInput&amp;G11 &amp;"_"&amp;E38</f>
        <v>PrecToGood__</v>
      </c>
      <c r="S38" s="105">
        <f>MAX(S31:S37)+IF(D38=C11,2,1)</f>
        <v>8</v>
      </c>
      <c r="T38" s="124" t="str">
        <f>IF(G11="","",L38)</f>
        <v/>
      </c>
      <c r="U38" s="91"/>
      <c r="V38" s="157" t="str">
        <f>IF(AND(G11&lt;&gt;"",E38&lt;&gt;"",L38&lt;&gt;""),TRUE,IF(AND(G11&lt;&gt;"",E38&lt;&gt;"",L38="",X38=FALSE),CONST_ErrorOrMissing&amp;C11,CONST_NA))</f>
        <v>n.a.</v>
      </c>
      <c r="W38" s="104"/>
      <c r="X38" s="102" t="b">
        <f>IF(G11="",FALSE,OR(L29,E38=""))</f>
        <v>0</v>
      </c>
    </row>
    <row r="39" spans="1:24" s="144" customFormat="1" ht="12.75" customHeight="1" x14ac:dyDescent="0.25">
      <c r="A39" s="91"/>
      <c r="B39" s="93"/>
      <c r="C39" s="93"/>
      <c r="D39" s="173">
        <v>8</v>
      </c>
      <c r="E39" s="180" t="str">
        <f t="shared" si="2"/>
        <v/>
      </c>
      <c r="F39" s="181"/>
      <c r="G39" s="181"/>
      <c r="H39" s="181"/>
      <c r="I39" s="181"/>
      <c r="J39" s="182"/>
      <c r="K39" s="183" t="str">
        <f t="shared" si="3"/>
        <v/>
      </c>
      <c r="L39" s="212"/>
      <c r="N39" s="93"/>
      <c r="O39" s="902"/>
      <c r="Q39" s="93"/>
      <c r="R39" s="102" t="str">
        <f>CONST_PrecursorToGoodInput&amp;G11 &amp;"_"&amp;E39</f>
        <v>PrecToGood__</v>
      </c>
      <c r="S39" s="105">
        <f>MAX(S31:S38)+IF(D39=C11,2,1)</f>
        <v>9</v>
      </c>
      <c r="T39" s="124" t="str">
        <f>IF(G11="","",L39)</f>
        <v/>
      </c>
      <c r="U39" s="91"/>
      <c r="V39" s="157" t="str">
        <f>IF(AND(G11&lt;&gt;"",E39&lt;&gt;"",L39&lt;&gt;""),TRUE,IF(AND(G11&lt;&gt;"",E39&lt;&gt;"",L39="",X39=FALSE),CONST_ErrorOrMissing&amp;C11,CONST_NA))</f>
        <v>n.a.</v>
      </c>
      <c r="W39" s="104"/>
      <c r="X39" s="102" t="b">
        <f>IF(G11="",FALSE,OR(L29,E39=""))</f>
        <v>0</v>
      </c>
    </row>
    <row r="40" spans="1:24" s="144" customFormat="1" ht="12.75" customHeight="1" x14ac:dyDescent="0.25">
      <c r="A40" s="91"/>
      <c r="B40" s="93"/>
      <c r="C40" s="93"/>
      <c r="D40" s="173">
        <v>9</v>
      </c>
      <c r="E40" s="184" t="str">
        <f t="shared" si="2"/>
        <v/>
      </c>
      <c r="F40" s="185"/>
      <c r="G40" s="185"/>
      <c r="H40" s="185"/>
      <c r="I40" s="185"/>
      <c r="J40" s="186"/>
      <c r="K40" s="163" t="str">
        <f t="shared" si="3"/>
        <v/>
      </c>
      <c r="L40" s="31"/>
      <c r="N40" s="93"/>
      <c r="O40" s="902"/>
      <c r="Q40" s="93"/>
      <c r="R40" s="102" t="str">
        <f>CONST_PrecursorToGoodInput&amp;G11 &amp;"_"&amp;E40</f>
        <v>PrecToGood__</v>
      </c>
      <c r="S40" s="105">
        <f>MAX(S31:S39)+IF(D40=C11,2,1)</f>
        <v>10</v>
      </c>
      <c r="T40" s="124" t="str">
        <f>IF(G11="","",L40)</f>
        <v/>
      </c>
      <c r="U40" s="91"/>
      <c r="V40" s="157" t="str">
        <f>IF(AND(G11&lt;&gt;"",E40&lt;&gt;"",L40&lt;&gt;""),TRUE,IF(AND(G11&lt;&gt;"",E40&lt;&gt;"",L40="",X40=FALSE),CONST_ErrorOrMissing&amp;C11,CONST_NA))</f>
        <v>n.a.</v>
      </c>
      <c r="W40" s="104"/>
      <c r="X40" s="102" t="b">
        <f>IF(G11="",FALSE,OR(L29,E40=""))</f>
        <v>0</v>
      </c>
    </row>
    <row r="41" spans="1:24" s="144" customFormat="1" ht="12.75" customHeight="1" x14ac:dyDescent="0.25">
      <c r="A41" s="91"/>
      <c r="B41" s="93"/>
      <c r="C41" s="93"/>
      <c r="D41" s="168" t="s">
        <v>377</v>
      </c>
      <c r="E41" s="167" t="str">
        <f>Translations!$B$252</f>
        <v>Consumed for non-CBAM goods within the installation:</v>
      </c>
      <c r="F41" s="167"/>
      <c r="G41" s="167"/>
      <c r="H41" s="167"/>
      <c r="I41" s="167"/>
      <c r="J41" s="167"/>
      <c r="K41" s="297" t="str">
        <f t="shared" si="3"/>
        <v/>
      </c>
      <c r="L41" s="298"/>
      <c r="N41" s="93"/>
      <c r="O41" s="902"/>
      <c r="Q41" s="93"/>
      <c r="R41" s="91"/>
      <c r="S41" s="91"/>
      <c r="T41" s="712"/>
      <c r="U41" s="91"/>
      <c r="V41" s="157" t="str">
        <f>IF(AND(G11&lt;&gt;"",L41&lt;&gt;""),TRUE,IF(AND(G11&lt;&gt;"",L41="",X41=FALSE),CONST_ErrorOrMissing&amp;C11,CONST_NA))</f>
        <v>n.a.</v>
      </c>
      <c r="W41" s="104" t="s">
        <v>34</v>
      </c>
      <c r="X41" s="102" t="b">
        <f>IF(G11="",FALSE,L29)</f>
        <v>0</v>
      </c>
    </row>
    <row r="42" spans="1:24" s="144" customFormat="1" ht="12.75" customHeight="1" x14ac:dyDescent="0.25">
      <c r="A42" s="91"/>
      <c r="B42" s="93"/>
      <c r="C42" s="93"/>
      <c r="D42" s="168" t="s">
        <v>411</v>
      </c>
      <c r="E42" s="138" t="str">
        <f>Translations!$B$253</f>
        <v>Control:</v>
      </c>
      <c r="F42" s="170"/>
      <c r="G42" s="170"/>
      <c r="H42" s="170"/>
      <c r="I42" s="170"/>
      <c r="J42" s="170"/>
      <c r="K42" s="169" t="str">
        <f t="shared" si="3"/>
        <v/>
      </c>
      <c r="L42" s="386" t="str">
        <f>IF(G11="","",SUM(L24)-SUM(L27,L32:L41))</f>
        <v/>
      </c>
      <c r="N42" s="93"/>
      <c r="O42" s="902"/>
      <c r="Q42" s="93"/>
      <c r="R42" s="91"/>
      <c r="S42" s="91"/>
      <c r="T42" s="712"/>
      <c r="U42" s="91"/>
      <c r="V42" s="157" t="str">
        <f>IF(AND(G11&lt;&gt;"",L42=0),TRUE,IF(AND(G11&lt;&gt;"",L42&lt;&gt;0,X42=FALSE),CONST_ErrorOrMissing&amp;C11,CONST_NA))</f>
        <v>n.a.</v>
      </c>
      <c r="W42" s="104"/>
      <c r="X42" s="102" t="b">
        <f>IF(G11="",FALSE,L29)</f>
        <v>0</v>
      </c>
    </row>
    <row r="43" spans="1:24" s="144" customFormat="1" ht="12.75" customHeight="1" thickBot="1" x14ac:dyDescent="0.3">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25">
      <c r="C44" s="187"/>
      <c r="D44" s="188"/>
      <c r="E44" s="189"/>
      <c r="F44" s="190"/>
      <c r="G44" s="190"/>
      <c r="H44" s="190"/>
      <c r="I44" s="190"/>
      <c r="J44" s="190"/>
      <c r="K44" s="190"/>
      <c r="L44" s="190"/>
      <c r="M44" s="190"/>
      <c r="N44" s="191"/>
      <c r="O44" s="901"/>
      <c r="P44" s="144"/>
      <c r="T44" s="712"/>
    </row>
    <row r="45" spans="1:24" ht="15" customHeight="1" x14ac:dyDescent="0.25">
      <c r="C45" s="192"/>
      <c r="D45" s="193" t="str">
        <f>Translations!$B$254</f>
        <v>Calculation of the attributed emissions:</v>
      </c>
      <c r="E45" s="194"/>
      <c r="F45" s="195"/>
      <c r="G45" s="195"/>
      <c r="H45" s="195"/>
      <c r="I45" s="195"/>
      <c r="J45" s="1317" t="str">
        <f>IF(G11="","",G11)</f>
        <v/>
      </c>
      <c r="K45" s="1317"/>
      <c r="L45" s="1317"/>
      <c r="M45" s="1317"/>
      <c r="N45" s="196"/>
      <c r="O45" s="901"/>
      <c r="P45" s="144"/>
      <c r="T45" s="712"/>
    </row>
    <row r="46" spans="1:24" ht="5.0999999999999996" customHeight="1" x14ac:dyDescent="0.25">
      <c r="C46" s="192"/>
      <c r="D46" s="197"/>
      <c r="E46" s="198"/>
      <c r="F46" s="195"/>
      <c r="G46" s="195"/>
      <c r="H46" s="195"/>
      <c r="I46" s="195"/>
      <c r="J46" s="195"/>
      <c r="K46" s="195"/>
      <c r="L46" s="195"/>
      <c r="M46" s="195"/>
      <c r="N46" s="196"/>
      <c r="O46" s="901"/>
      <c r="P46" s="144"/>
      <c r="T46" s="712"/>
    </row>
    <row r="47" spans="1:24" ht="12.75" customHeight="1" x14ac:dyDescent="0.25">
      <c r="C47" s="192"/>
      <c r="D47" s="199"/>
      <c r="E47" s="1318" t="str">
        <f ca="1">HYPERLINK("#"&amp;ADDRESS(MATCH($S47,G_FurtherGuidance!$S:$S,0),3,,,G_FurtherGuidance!$U$2),CONST_LinkToGuidanceSheet)</f>
        <v>Please click on this link for further guidance on how to complete this section.</v>
      </c>
      <c r="F47" s="1319"/>
      <c r="G47" s="1319"/>
      <c r="H47" s="1319"/>
      <c r="I47" s="1319"/>
      <c r="J47" s="1319"/>
      <c r="K47" s="1319"/>
      <c r="L47" s="1319"/>
      <c r="M47" s="1319"/>
      <c r="N47" s="202"/>
      <c r="O47" s="901"/>
      <c r="P47" s="144"/>
      <c r="R47" s="104" t="s">
        <v>2771</v>
      </c>
      <c r="S47" s="105">
        <v>3</v>
      </c>
      <c r="T47" s="712"/>
    </row>
    <row r="48" spans="1:24" ht="5.0999999999999996" customHeight="1" x14ac:dyDescent="0.25">
      <c r="C48" s="192"/>
      <c r="D48" s="197"/>
      <c r="E48" s="198"/>
      <c r="F48" s="195"/>
      <c r="G48" s="195"/>
      <c r="H48" s="195"/>
      <c r="I48" s="195"/>
      <c r="J48" s="198"/>
      <c r="K48" s="195"/>
      <c r="L48" s="195"/>
      <c r="M48" s="195"/>
      <c r="N48" s="196"/>
      <c r="O48" s="901"/>
      <c r="P48" s="144"/>
      <c r="T48" s="712"/>
      <c r="X48" s="104"/>
    </row>
    <row r="49" spans="3:24" ht="25.5" customHeight="1" x14ac:dyDescent="0.2">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25">
      <c r="C50" s="192"/>
      <c r="D50" s="199" t="s">
        <v>412</v>
      </c>
      <c r="E50" s="200" t="str">
        <f>Translations!$B$258</f>
        <v>Please select which elements are applicable</v>
      </c>
      <c r="F50" s="201"/>
      <c r="G50" s="201"/>
      <c r="H50" s="201"/>
      <c r="I50" s="201"/>
      <c r="J50" s="201"/>
      <c r="K50" s="120"/>
      <c r="L50" s="120"/>
      <c r="M50" s="169" t="str">
        <f>IF(L11="","",INDEX(CONST_LIST_GoodsIndRel,MATCH(L11,CONST_LIST_Goods,0)))</f>
        <v/>
      </c>
      <c r="N50" s="196"/>
      <c r="O50" s="902"/>
      <c r="P50" s="144"/>
      <c r="T50" s="712"/>
      <c r="V50" s="157" t="str">
        <f>IF(AND(L11&lt;&gt;"",X50=FALSE),IF(COUNTA(K50:L50)=2,TRUE,CONST_ErrorOrMissing&amp;C11),CONST_NA)</f>
        <v>n.a.</v>
      </c>
      <c r="X50" s="104"/>
    </row>
    <row r="51" spans="3:24" ht="12.75" customHeight="1" x14ac:dyDescent="0.25">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25">
      <c r="C52" s="192"/>
      <c r="D52" s="204"/>
      <c r="E52" s="198"/>
      <c r="F52" s="195"/>
      <c r="G52" s="195"/>
      <c r="H52" s="195"/>
      <c r="I52" s="195"/>
      <c r="J52" s="195"/>
      <c r="K52" s="198"/>
      <c r="L52" s="195"/>
      <c r="M52" s="195"/>
      <c r="N52" s="196"/>
      <c r="O52" s="901"/>
      <c r="P52" s="144"/>
      <c r="T52" s="712"/>
      <c r="X52" s="104"/>
    </row>
    <row r="53" spans="3:24" ht="12.75" customHeight="1" x14ac:dyDescent="0.25">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25">
      <c r="C54" s="192"/>
      <c r="D54" s="199" t="s">
        <v>413</v>
      </c>
      <c r="E54" s="200" t="str">
        <f>Translations!$B$261</f>
        <v>Directly attributable emissions (DirEm*)</v>
      </c>
      <c r="F54" s="201"/>
      <c r="G54" s="201"/>
      <c r="H54" s="201"/>
      <c r="I54" s="201"/>
      <c r="J54" s="201"/>
      <c r="K54" s="205" t="str">
        <f>CONST_tCO2eq</f>
        <v>tCO2e</v>
      </c>
      <c r="L54" s="213"/>
      <c r="M54" s="195"/>
      <c r="N54" s="196"/>
      <c r="O54" s="902"/>
      <c r="P54" s="144"/>
      <c r="R54" s="102" t="str">
        <f>CONST_EmDir&amp;G11</f>
        <v>EmDir_</v>
      </c>
      <c r="S54" s="102" t="str">
        <f>CONST_CNTR_EmbedEmDir&amp;G11</f>
        <v>EmbedEmDir_</v>
      </c>
      <c r="T54" s="124" t="str">
        <f>IF(G11="","",L54)</f>
        <v/>
      </c>
      <c r="V54" s="157" t="str">
        <f>IF(L11&lt;&gt;"",IF(L54&lt;&gt;"",TRUE,CONST_ErrorOrMissing&amp;C11),CONST_NA)</f>
        <v>n.a.</v>
      </c>
      <c r="X54" s="104"/>
    </row>
    <row r="55" spans="3:24" ht="5.0999999999999996" customHeight="1" x14ac:dyDescent="0.25">
      <c r="C55" s="192"/>
      <c r="D55" s="204"/>
      <c r="E55" s="198"/>
      <c r="F55" s="195"/>
      <c r="G55" s="195"/>
      <c r="H55" s="195"/>
      <c r="I55" s="195"/>
      <c r="J55" s="195"/>
      <c r="K55" s="195"/>
      <c r="L55" s="199"/>
      <c r="M55" s="199"/>
      <c r="N55" s="196"/>
      <c r="O55" s="901"/>
      <c r="P55" s="144"/>
      <c r="T55" s="712"/>
    </row>
    <row r="56" spans="3:24" ht="12.75" customHeight="1" x14ac:dyDescent="0.25">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0</v>
      </c>
    </row>
    <row r="57" spans="3:24" ht="12.75" customHeight="1" x14ac:dyDescent="0.25">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0</v>
      </c>
    </row>
    <row r="58" spans="3:24" ht="12.75" customHeight="1" x14ac:dyDescent="0.25">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v>
      </c>
      <c r="S58" s="102" t="str">
        <f>CONST_CNTR_EmbedEmDir&amp;G11</f>
        <v>EmbedEmDir_</v>
      </c>
      <c r="T58" s="124" t="str">
        <f>IF(G11="","",SUM(L57*L58-M57*M58))</f>
        <v/>
      </c>
      <c r="V58" s="157" t="str">
        <f>IF(AND(L11&lt;&gt;"",X58=FALSE),IF(COUNTA(L58:M58)=2,TRUE,CONST_ErrorOrMissing&amp;C11),CONST_NA)</f>
        <v>n.a.</v>
      </c>
      <c r="X58" s="102" t="b">
        <f>X57</f>
        <v>0</v>
      </c>
    </row>
    <row r="59" spans="3:24" ht="5.0999999999999996" customHeight="1" x14ac:dyDescent="0.25">
      <c r="C59" s="192"/>
      <c r="D59" s="204"/>
      <c r="E59" s="198"/>
      <c r="F59" s="195"/>
      <c r="G59" s="195"/>
      <c r="H59" s="195"/>
      <c r="I59" s="195"/>
      <c r="J59" s="195"/>
      <c r="K59" s="195"/>
      <c r="L59" s="199"/>
      <c r="M59" s="199"/>
      <c r="N59" s="196"/>
      <c r="O59" s="901"/>
      <c r="P59" s="144"/>
      <c r="T59" s="712"/>
    </row>
    <row r="60" spans="3:24" ht="12.75" customHeight="1" x14ac:dyDescent="0.25">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0</v>
      </c>
    </row>
    <row r="61" spans="3:24" ht="12.75" customHeight="1" x14ac:dyDescent="0.25">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0</v>
      </c>
    </row>
    <row r="62" spans="3:24" ht="12.75" customHeight="1" x14ac:dyDescent="0.25">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v>
      </c>
      <c r="S62" s="102" t="str">
        <f>CONST_CNTR_EmbedEmDir&amp;G11</f>
        <v>EmbedEmDir_</v>
      </c>
      <c r="T62" s="124" t="str">
        <f>IF(G11="","",SUM(L61*CONST_EFNatGas-M61*CONST_EFNatGas*0.667))</f>
        <v/>
      </c>
      <c r="X62" s="102" t="b">
        <f>X61</f>
        <v>0</v>
      </c>
    </row>
    <row r="63" spans="3:24" ht="5.0999999999999996" customHeight="1" x14ac:dyDescent="0.25">
      <c r="C63" s="192"/>
      <c r="D63" s="204"/>
      <c r="E63" s="198"/>
      <c r="F63" s="195"/>
      <c r="G63" s="195"/>
      <c r="H63" s="195"/>
      <c r="I63" s="195"/>
      <c r="J63" s="195"/>
      <c r="K63" s="195"/>
      <c r="L63" s="195"/>
      <c r="M63" s="195"/>
      <c r="N63" s="196"/>
      <c r="O63" s="901"/>
      <c r="P63" s="144"/>
      <c r="T63" s="712"/>
    </row>
    <row r="64" spans="3:24" ht="12.75" customHeight="1" x14ac:dyDescent="0.25">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25">
      <c r="C65" s="192"/>
      <c r="D65" s="197" t="s">
        <v>41</v>
      </c>
      <c r="E65" s="201" t="str">
        <f>Translations!$B$270</f>
        <v>Electricity consumption</v>
      </c>
      <c r="F65" s="201"/>
      <c r="G65" s="201"/>
      <c r="H65" s="201"/>
      <c r="I65" s="201"/>
      <c r="J65" s="201"/>
      <c r="K65" s="205" t="str">
        <f>CONST_MWh</f>
        <v>MWh</v>
      </c>
      <c r="L65" s="213"/>
      <c r="M65" s="195"/>
      <c r="N65" s="196"/>
      <c r="O65" s="902"/>
      <c r="P65" s="144"/>
      <c r="R65" s="102" t="str">
        <f>CONST_ElecConsumption&amp;G11</f>
        <v>ElecCons_</v>
      </c>
      <c r="T65" s="124" t="str">
        <f>IF(G11="","",L65)</f>
        <v/>
      </c>
      <c r="V65" s="157" t="str">
        <f>IF(AND(L11&lt;&gt;"",X65=FALSE),IF(L65&lt;&gt;"",TRUE,CONST_ErrorOrMissing&amp;C11),CONST_NA)</f>
        <v>n.a.</v>
      </c>
      <c r="X65" s="102" t="b">
        <f>X64</f>
        <v>0</v>
      </c>
    </row>
    <row r="66" spans="1:24" ht="12.75" customHeight="1" x14ac:dyDescent="0.25">
      <c r="C66" s="192"/>
      <c r="D66" s="197" t="s">
        <v>42</v>
      </c>
      <c r="E66" s="201" t="str">
        <f>Translations!$B$271</f>
        <v>Emission factor of the electricity</v>
      </c>
      <c r="F66" s="201"/>
      <c r="G66" s="201"/>
      <c r="H66" s="201"/>
      <c r="I66" s="201"/>
      <c r="J66" s="201"/>
      <c r="K66" s="205" t="str">
        <f>CONST_tCO2&amp;"/"&amp;CONST_MWh</f>
        <v>tCO2/MWh</v>
      </c>
      <c r="L66" s="215"/>
      <c r="M66" s="195"/>
      <c r="N66" s="196"/>
      <c r="O66" s="902"/>
      <c r="P66" s="144"/>
      <c r="S66" s="102" t="str">
        <f>CONST_CNTR_EmbedEmInDir&amp;G11</f>
        <v>EmbedEmInDir_</v>
      </c>
      <c r="T66" s="124" t="str">
        <f>IF(G11="","",SUM(L65)*SUM(L66))</f>
        <v/>
      </c>
      <c r="V66" s="157" t="str">
        <f>IF(AND(L11&lt;&gt;"",X66=FALSE),IF(L66&lt;&gt;"",TRUE,CONST_ErrorOrMissing&amp;C11),CONST_NA)</f>
        <v>n.a.</v>
      </c>
      <c r="X66" s="102" t="b">
        <f>X65</f>
        <v>0</v>
      </c>
    </row>
    <row r="67" spans="1:24" ht="12.75" customHeight="1" x14ac:dyDescent="0.25">
      <c r="C67" s="192"/>
      <c r="D67" s="197" t="s">
        <v>43</v>
      </c>
      <c r="E67" s="201" t="str">
        <f>Translations!$B$272</f>
        <v>Source of the emission factor</v>
      </c>
      <c r="F67" s="201"/>
      <c r="G67" s="201"/>
      <c r="H67" s="201"/>
      <c r="I67" s="201"/>
      <c r="J67" s="201"/>
      <c r="K67" s="299" t="s">
        <v>206</v>
      </c>
      <c r="L67" s="215"/>
      <c r="M67" s="195"/>
      <c r="N67" s="196"/>
      <c r="O67" s="902"/>
      <c r="P67" s="144"/>
      <c r="R67" s="102" t="str">
        <f>CONST_CNTR_ElecEFMethod&amp;G11</f>
        <v>ElecEFMeth_</v>
      </c>
      <c r="T67" s="714" t="str">
        <f>IF(L67="","",L67)</f>
        <v/>
      </c>
      <c r="V67" s="157" t="str">
        <f>IF(AND(L11&lt;&gt;"",X67=FALSE),IF(L67&lt;&gt;"",TRUE,CONST_ErrorOrMissing&amp;C11),CONST_NA)</f>
        <v>n.a.</v>
      </c>
      <c r="X67" s="102" t="b">
        <f>X66</f>
        <v>0</v>
      </c>
    </row>
    <row r="68" spans="1:24" ht="5.0999999999999996" customHeight="1" x14ac:dyDescent="0.25">
      <c r="C68" s="192"/>
      <c r="D68" s="204"/>
      <c r="E68" s="198"/>
      <c r="F68" s="195"/>
      <c r="G68" s="195"/>
      <c r="H68" s="195"/>
      <c r="I68" s="195"/>
      <c r="J68" s="195"/>
      <c r="K68" s="195"/>
      <c r="L68" s="195"/>
      <c r="M68" s="195"/>
      <c r="N68" s="196"/>
      <c r="O68" s="901"/>
      <c r="P68" s="144"/>
      <c r="T68" s="712"/>
    </row>
    <row r="69" spans="1:24" ht="12.75" customHeight="1" x14ac:dyDescent="0.25">
      <c r="C69" s="192"/>
      <c r="D69" s="204"/>
      <c r="E69" s="198"/>
      <c r="F69" s="195"/>
      <c r="G69" s="195"/>
      <c r="H69" s="195"/>
      <c r="I69" s="195"/>
      <c r="J69" s="195"/>
      <c r="K69" s="195"/>
      <c r="L69" s="195"/>
      <c r="M69" s="195"/>
      <c r="N69" s="196"/>
      <c r="O69" s="901"/>
      <c r="P69" s="144"/>
      <c r="T69" s="712"/>
      <c r="X69" s="171"/>
    </row>
    <row r="70" spans="1:24" ht="12.75" customHeight="1" x14ac:dyDescent="0.25">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25">
      <c r="C71" s="192"/>
      <c r="D71" s="197" t="s">
        <v>41</v>
      </c>
      <c r="E71" s="201" t="str">
        <f>Translations!$B$274</f>
        <v>Amounts exported</v>
      </c>
      <c r="F71" s="201"/>
      <c r="G71" s="201"/>
      <c r="H71" s="201"/>
      <c r="I71" s="201"/>
      <c r="J71" s="201"/>
      <c r="K71" s="205" t="s">
        <v>51</v>
      </c>
      <c r="L71" s="213"/>
      <c r="M71" s="195"/>
      <c r="N71" s="196"/>
      <c r="O71" s="902"/>
      <c r="P71" s="144"/>
      <c r="T71" s="712"/>
      <c r="V71" s="157" t="str">
        <f>IF(L11&lt;&gt;"",IF(L71&lt;&gt;"",TRUE,CONST_ErrorOrMissing&amp;C11),CONST_NA)</f>
        <v>n.a.</v>
      </c>
      <c r="X71" s="171"/>
    </row>
    <row r="72" spans="1:24" ht="12.75" customHeight="1" x14ac:dyDescent="0.25">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v>
      </c>
      <c r="T72" s="124" t="str">
        <f>IF(G11="","",-SUM(L71)*SUM(L72))</f>
        <v/>
      </c>
      <c r="V72" s="157" t="str">
        <f>IF(AND(L11&lt;&gt;"",SUM(L71)&gt;0),IF(L72&lt;&gt;"",TRUE,CONST_ErrorOrMissing&amp;C11),CONST_NA)</f>
        <v>n.a.</v>
      </c>
      <c r="X72" s="171"/>
    </row>
    <row r="73" spans="1:24" s="144" customFormat="1" ht="12.75" customHeight="1" thickBot="1" x14ac:dyDescent="0.3">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
      <c r="B75" s="145"/>
      <c r="C75" s="145"/>
      <c r="D75" s="145"/>
      <c r="E75" s="145"/>
      <c r="F75" s="145"/>
      <c r="G75" s="145"/>
      <c r="H75" s="145"/>
      <c r="I75" s="145"/>
      <c r="J75" s="145"/>
      <c r="K75" s="145"/>
      <c r="L75" s="145"/>
      <c r="M75" s="145"/>
      <c r="N75" s="145"/>
      <c r="O75" s="903"/>
      <c r="P75" s="144"/>
      <c r="T75" s="712"/>
    </row>
    <row r="76" spans="1:24" ht="18" customHeight="1" thickBot="1" x14ac:dyDescent="0.3">
      <c r="C76" s="147">
        <f>C11+1</f>
        <v>2</v>
      </c>
      <c r="D76" s="148" t="str">
        <f>CONST_ProductionProcess &amp; " " &amp; C76 &amp; ":"</f>
        <v>Production process 2:</v>
      </c>
      <c r="G76" s="1310" t="str">
        <f>IF(INDEX(CNTR_List_ExistProdProcNames,R76)=CONST_NA,"",INDEX(CNTR_List_ExistProdProcNames,R76))</f>
        <v/>
      </c>
      <c r="H76" s="1311"/>
      <c r="I76" s="1311"/>
      <c r="J76" s="1311"/>
      <c r="K76" s="1312"/>
      <c r="L76" s="1313" t="str">
        <f>IF(INDEX(CNTR_List_ExistProdProc,R76)=CONST_NA,"",INDEX(CNTR_List_ExistProdProc,R76))</f>
        <v/>
      </c>
      <c r="M76" s="1314"/>
      <c r="N76" s="1315"/>
      <c r="O76" s="901"/>
      <c r="P76" s="144"/>
      <c r="R76" s="149">
        <f>C76</f>
        <v>2</v>
      </c>
      <c r="T76" s="712"/>
      <c r="W76" s="104" t="s">
        <v>2748</v>
      </c>
      <c r="X76" s="150" t="b">
        <f>AND(CNTR_HasEntriesA,G76="")</f>
        <v>0</v>
      </c>
    </row>
    <row r="77" spans="1:24" ht="5.0999999999999996" customHeight="1" x14ac:dyDescent="0.25">
      <c r="D77" s="103"/>
      <c r="E77" s="100"/>
      <c r="O77" s="901"/>
      <c r="P77" s="144"/>
      <c r="T77" s="712"/>
    </row>
    <row r="78" spans="1:24" ht="12.75" customHeight="1" x14ac:dyDescent="0.25">
      <c r="D78" s="103"/>
      <c r="E78" s="1289" t="str">
        <f ca="1">HYPERLINK("#"&amp;ADDRESS(MATCH($S78,G_FurtherGuidance!$S:$S,0),3,,,G_FurtherGuidance!$U$2),CONST_LinkToGuidanceSheet)</f>
        <v>Please click on this link for further guidance on how to complete this section.</v>
      </c>
      <c r="F78" s="1316"/>
      <c r="G78" s="1316"/>
      <c r="H78" s="1316"/>
      <c r="I78" s="1316"/>
      <c r="J78" s="1316"/>
      <c r="K78" s="1316"/>
      <c r="L78" s="1316"/>
      <c r="M78" s="1316"/>
      <c r="O78" s="901"/>
      <c r="P78" s="144"/>
      <c r="R78" s="104" t="s">
        <v>2771</v>
      </c>
      <c r="S78" s="105">
        <v>3</v>
      </c>
      <c r="T78" s="712"/>
    </row>
    <row r="79" spans="1:24" ht="5.0999999999999996" customHeight="1" x14ac:dyDescent="0.25">
      <c r="D79" s="103"/>
      <c r="E79" s="100"/>
      <c r="O79" s="901"/>
      <c r="P79" s="144"/>
      <c r="T79" s="712"/>
    </row>
    <row r="80" spans="1:24" ht="12.75" customHeight="1" x14ac:dyDescent="0.25">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25">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25">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25">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25">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25">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25">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25">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25">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25">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25">
      <c r="A90" s="91"/>
      <c r="B90" s="93"/>
      <c r="C90" s="93"/>
      <c r="D90" s="166"/>
      <c r="E90" s="167"/>
      <c r="N90" s="93"/>
      <c r="O90" s="901"/>
      <c r="Q90" s="93"/>
      <c r="R90" s="91"/>
      <c r="S90" s="91"/>
      <c r="T90" s="712"/>
      <c r="U90" s="91"/>
      <c r="V90" s="91"/>
      <c r="W90" s="104"/>
      <c r="X90" s="91"/>
    </row>
    <row r="91" spans="1:24" s="144" customFormat="1" ht="12.75" customHeight="1" x14ac:dyDescent="0.25">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25">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t="str">
        <f>IF($G$11="","",L92)</f>
        <v/>
      </c>
      <c r="U92" s="91"/>
      <c r="V92" s="157" t="str">
        <f>IF(AND(G76&lt;&gt;"",L92&lt;&gt;""),TRUE,IF(AND(G76&lt;&gt;"",OR(L92="",L81&lt;&gt;"")),CONST_ErrorOrMissing&amp;C76,CONST_NA))</f>
        <v>n.a.</v>
      </c>
      <c r="W92" s="104"/>
      <c r="X92" s="91"/>
    </row>
    <row r="93" spans="1:24" s="144" customFormat="1" ht="12.75" customHeight="1" x14ac:dyDescent="0.25">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25">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25">
      <c r="A95" s="91"/>
      <c r="B95" s="93"/>
      <c r="C95" s="93"/>
      <c r="D95" s="166"/>
      <c r="E95" s="167"/>
      <c r="N95" s="93"/>
      <c r="O95" s="901"/>
      <c r="Q95" s="93"/>
      <c r="R95" s="91"/>
      <c r="S95" s="91"/>
      <c r="T95" s="712"/>
      <c r="U95" s="91"/>
      <c r="V95" s="91"/>
      <c r="W95" s="104"/>
      <c r="X95" s="91"/>
    </row>
    <row r="96" spans="1:24" s="144" customFormat="1" ht="12.75" customHeight="1" x14ac:dyDescent="0.25">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25">
      <c r="A97" s="91"/>
      <c r="B97" s="93"/>
      <c r="C97" s="93"/>
      <c r="D97" s="173">
        <v>1</v>
      </c>
      <c r="E97" s="174" t="str">
        <f t="shared" ref="E97:E105" si="6">IF(INDEX(CNTR_List_ExistProdProcNames,S97)=CONST_NA,"",INDEX(CNTR_List_ExistProdProcNames,S97))</f>
        <v/>
      </c>
      <c r="F97" s="175"/>
      <c r="G97" s="175"/>
      <c r="H97" s="175"/>
      <c r="I97" s="175"/>
      <c r="J97" s="176"/>
      <c r="K97" s="155" t="str">
        <f>K81</f>
        <v/>
      </c>
      <c r="L97" s="29"/>
      <c r="N97" s="93"/>
      <c r="O97" s="902"/>
      <c r="Q97" s="93"/>
      <c r="R97" s="102" t="str">
        <f>CONST_PrecursorToGoodInput&amp;G76 &amp;"_"&amp;E97</f>
        <v>PrecToGood__</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25">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25">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25">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25">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25">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25">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25">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25">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25">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25">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25">
      <c r="C109" s="187"/>
      <c r="D109" s="188"/>
      <c r="E109" s="189"/>
      <c r="F109" s="190"/>
      <c r="G109" s="190"/>
      <c r="H109" s="190"/>
      <c r="I109" s="190"/>
      <c r="J109" s="190"/>
      <c r="K109" s="190"/>
      <c r="L109" s="190"/>
      <c r="M109" s="190"/>
      <c r="N109" s="191"/>
      <c r="O109" s="901"/>
      <c r="P109" s="144"/>
      <c r="T109" s="712"/>
    </row>
    <row r="110" spans="1:24" ht="15" customHeight="1" x14ac:dyDescent="0.25">
      <c r="C110" s="192"/>
      <c r="D110" s="193" t="str">
        <f>Translations!$B$254</f>
        <v>Calculation of the attributed emissions:</v>
      </c>
      <c r="E110" s="194"/>
      <c r="F110" s="195"/>
      <c r="G110" s="195"/>
      <c r="H110" s="195"/>
      <c r="I110" s="195"/>
      <c r="J110" s="1317" t="str">
        <f>IF(G76="","",G76)</f>
        <v/>
      </c>
      <c r="K110" s="1317"/>
      <c r="L110" s="1317"/>
      <c r="M110" s="1317"/>
      <c r="N110" s="196"/>
      <c r="O110" s="901"/>
      <c r="P110" s="144"/>
      <c r="T110" s="712"/>
    </row>
    <row r="111" spans="1:24" ht="5.0999999999999996" customHeight="1" x14ac:dyDescent="0.25">
      <c r="C111" s="192"/>
      <c r="D111" s="197"/>
      <c r="E111" s="198"/>
      <c r="F111" s="195"/>
      <c r="G111" s="195"/>
      <c r="H111" s="195"/>
      <c r="I111" s="195"/>
      <c r="J111" s="195"/>
      <c r="K111" s="195"/>
      <c r="L111" s="195"/>
      <c r="M111" s="195"/>
      <c r="N111" s="196"/>
      <c r="O111" s="901"/>
      <c r="P111" s="144"/>
      <c r="T111" s="712"/>
    </row>
    <row r="112" spans="1:24" ht="12.75" customHeight="1" x14ac:dyDescent="0.25">
      <c r="C112" s="192"/>
      <c r="D112" s="199"/>
      <c r="E112" s="1318" t="str">
        <f ca="1">HYPERLINK("#"&amp;ADDRESS(MATCH($S112,G_FurtherGuidance!$S:$S,0),3,,,G_FurtherGuidance!$U$2),CONST_LinkToGuidanceSheet)</f>
        <v>Please click on this link for further guidance on how to complete this section.</v>
      </c>
      <c r="F112" s="1319"/>
      <c r="G112" s="1319"/>
      <c r="H112" s="1319"/>
      <c r="I112" s="1319"/>
      <c r="J112" s="1319"/>
      <c r="K112" s="1319"/>
      <c r="L112" s="1319"/>
      <c r="M112" s="1319"/>
      <c r="N112" s="202"/>
      <c r="O112" s="901"/>
      <c r="P112" s="144"/>
      <c r="R112" s="104" t="s">
        <v>2771</v>
      </c>
      <c r="S112" s="105">
        <v>3</v>
      </c>
      <c r="T112" s="712"/>
    </row>
    <row r="113" spans="3:24" ht="5.0999999999999996" customHeight="1" x14ac:dyDescent="0.25">
      <c r="C113" s="192"/>
      <c r="D113" s="197"/>
      <c r="E113" s="198"/>
      <c r="F113" s="195"/>
      <c r="G113" s="195"/>
      <c r="H113" s="195"/>
      <c r="I113" s="195"/>
      <c r="J113" s="198"/>
      <c r="K113" s="195"/>
      <c r="L113" s="195"/>
      <c r="M113" s="195"/>
      <c r="N113" s="196"/>
      <c r="O113" s="901"/>
      <c r="P113" s="144"/>
      <c r="T113" s="712"/>
      <c r="X113" s="104"/>
    </row>
    <row r="114" spans="3:24" ht="24.95" customHeight="1" x14ac:dyDescent="0.2">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25">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25">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25">
      <c r="C117" s="192"/>
      <c r="D117" s="204"/>
      <c r="E117" s="198"/>
      <c r="F117" s="195"/>
      <c r="G117" s="195"/>
      <c r="H117" s="195"/>
      <c r="I117" s="195"/>
      <c r="J117" s="195"/>
      <c r="K117" s="198"/>
      <c r="L117" s="195"/>
      <c r="M117" s="195"/>
      <c r="N117" s="196"/>
      <c r="O117" s="901"/>
      <c r="P117" s="144"/>
      <c r="T117" s="712"/>
      <c r="X117" s="104"/>
    </row>
    <row r="118" spans="3:24" ht="12.75" customHeight="1" x14ac:dyDescent="0.25">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25">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25">
      <c r="C120" s="192"/>
      <c r="D120" s="204"/>
      <c r="E120" s="198"/>
      <c r="F120" s="195"/>
      <c r="G120" s="195"/>
      <c r="H120" s="195"/>
      <c r="I120" s="195"/>
      <c r="J120" s="195"/>
      <c r="K120" s="195"/>
      <c r="L120" s="199"/>
      <c r="M120" s="199"/>
      <c r="N120" s="196"/>
      <c r="O120" s="901"/>
      <c r="P120" s="144"/>
      <c r="T120" s="712"/>
    </row>
    <row r="121" spans="3:24" ht="12.75" customHeight="1" x14ac:dyDescent="0.25">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25">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25">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25">
      <c r="C124" s="192"/>
      <c r="D124" s="204"/>
      <c r="E124" s="198"/>
      <c r="F124" s="195"/>
      <c r="G124" s="195"/>
      <c r="H124" s="195"/>
      <c r="I124" s="195"/>
      <c r="J124" s="195"/>
      <c r="K124" s="195"/>
      <c r="L124" s="199"/>
      <c r="M124" s="199"/>
      <c r="N124" s="196"/>
      <c r="O124" s="901"/>
      <c r="P124" s="144"/>
      <c r="T124" s="712"/>
    </row>
    <row r="125" spans="3:24" ht="12.75" customHeight="1" x14ac:dyDescent="0.25">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25">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25">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25">
      <c r="C128" s="192"/>
      <c r="D128" s="204"/>
      <c r="E128" s="198"/>
      <c r="F128" s="195"/>
      <c r="G128" s="195"/>
      <c r="H128" s="195"/>
      <c r="I128" s="195"/>
      <c r="J128" s="195"/>
      <c r="K128" s="195"/>
      <c r="L128" s="195"/>
      <c r="M128" s="195"/>
      <c r="N128" s="196"/>
      <c r="O128" s="901"/>
      <c r="P128" s="144"/>
      <c r="T128" s="712"/>
    </row>
    <row r="129" spans="1:24" ht="12.75" customHeight="1" x14ac:dyDescent="0.25">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25">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25">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25">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25">
      <c r="C133" s="192"/>
      <c r="D133" s="204"/>
      <c r="E133" s="198"/>
      <c r="F133" s="195"/>
      <c r="G133" s="195"/>
      <c r="H133" s="195"/>
      <c r="I133" s="195"/>
      <c r="J133" s="195"/>
      <c r="K133" s="195"/>
      <c r="L133" s="195"/>
      <c r="M133" s="195"/>
      <c r="N133" s="196"/>
      <c r="O133" s="901"/>
      <c r="P133" s="144"/>
      <c r="T133" s="712"/>
    </row>
    <row r="134" spans="1:24" ht="12.75" customHeight="1" x14ac:dyDescent="0.25">
      <c r="C134" s="192"/>
      <c r="D134" s="204"/>
      <c r="E134" s="198"/>
      <c r="F134" s="195"/>
      <c r="G134" s="195"/>
      <c r="H134" s="195"/>
      <c r="I134" s="195"/>
      <c r="J134" s="195"/>
      <c r="K134" s="195"/>
      <c r="L134" s="195"/>
      <c r="M134" s="195"/>
      <c r="N134" s="196"/>
      <c r="O134" s="901"/>
      <c r="P134" s="144"/>
      <c r="T134" s="712"/>
      <c r="X134" s="171"/>
    </row>
    <row r="135" spans="1:24" ht="12.75" customHeight="1" x14ac:dyDescent="0.25">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25">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25">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
      <c r="B140" s="145"/>
      <c r="C140" s="145"/>
      <c r="D140" s="145"/>
      <c r="E140" s="145"/>
      <c r="F140" s="145"/>
      <c r="G140" s="145"/>
      <c r="H140" s="145"/>
      <c r="I140" s="145"/>
      <c r="J140" s="145"/>
      <c r="K140" s="145"/>
      <c r="L140" s="145"/>
      <c r="M140" s="145"/>
      <c r="N140" s="145"/>
      <c r="O140" s="903"/>
      <c r="P140" s="144"/>
      <c r="T140" s="712"/>
    </row>
    <row r="141" spans="1:24" ht="18" customHeight="1" thickBot="1" x14ac:dyDescent="0.3">
      <c r="C141" s="147">
        <f>C76+1</f>
        <v>3</v>
      </c>
      <c r="D141" s="148" t="str">
        <f>CONST_ProductionProcess &amp; " " &amp; C141 &amp; ":"</f>
        <v>Production process 3:</v>
      </c>
      <c r="G141" s="1310" t="str">
        <f>IF(INDEX(CNTR_List_ExistProdProcNames,R141)=CONST_NA,"",INDEX(CNTR_List_ExistProdProcNames,R141))</f>
        <v/>
      </c>
      <c r="H141" s="1311"/>
      <c r="I141" s="1311"/>
      <c r="J141" s="1311"/>
      <c r="K141" s="1312"/>
      <c r="L141" s="1313" t="str">
        <f>IF(INDEX(CNTR_List_ExistProdProc,R141)=CONST_NA,"",INDEX(CNTR_List_ExistProdProc,R141))</f>
        <v/>
      </c>
      <c r="M141" s="1314"/>
      <c r="N141" s="1315"/>
      <c r="O141" s="901"/>
      <c r="P141" s="144"/>
      <c r="R141" s="149">
        <f>C141</f>
        <v>3</v>
      </c>
      <c r="T141" s="712"/>
      <c r="W141" s="104" t="s">
        <v>2748</v>
      </c>
      <c r="X141" s="150" t="b">
        <f>AND(CNTR_HasEntriesA,G141="")</f>
        <v>0</v>
      </c>
    </row>
    <row r="142" spans="1:24" ht="5.0999999999999996" customHeight="1" x14ac:dyDescent="0.25">
      <c r="D142" s="103"/>
      <c r="E142" s="100"/>
      <c r="O142" s="901"/>
      <c r="P142" s="144"/>
      <c r="T142" s="712"/>
    </row>
    <row r="143" spans="1:24" ht="12.75" customHeight="1" x14ac:dyDescent="0.25">
      <c r="D143" s="103"/>
      <c r="E143" s="1289" t="str">
        <f ca="1">HYPERLINK("#"&amp;ADDRESS(MATCH($S143,G_FurtherGuidance!$S:$S,0),3,,,G_FurtherGuidance!$U$2),CONST_LinkToGuidanceSheet)</f>
        <v>Please click on this link for further guidance on how to complete this section.</v>
      </c>
      <c r="F143" s="1316"/>
      <c r="G143" s="1316"/>
      <c r="H143" s="1316"/>
      <c r="I143" s="1316"/>
      <c r="J143" s="1316"/>
      <c r="K143" s="1316"/>
      <c r="L143" s="1316"/>
      <c r="M143" s="1316"/>
      <c r="O143" s="901"/>
      <c r="P143" s="144"/>
      <c r="R143" s="104" t="s">
        <v>2771</v>
      </c>
      <c r="S143" s="105">
        <v>3</v>
      </c>
      <c r="T143" s="712"/>
    </row>
    <row r="144" spans="1:24" ht="5.0999999999999996" customHeight="1" x14ac:dyDescent="0.25">
      <c r="D144" s="103"/>
      <c r="E144" s="100"/>
      <c r="O144" s="901"/>
      <c r="P144" s="144"/>
      <c r="T144" s="712"/>
    </row>
    <row r="145" spans="1:24" ht="12.75" customHeight="1" x14ac:dyDescent="0.25">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25">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25">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25">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25">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25">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25">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25">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25">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25">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25">
      <c r="A155" s="91"/>
      <c r="B155" s="93"/>
      <c r="C155" s="93"/>
      <c r="D155" s="166"/>
      <c r="E155" s="167"/>
      <c r="N155" s="93"/>
      <c r="O155" s="901"/>
      <c r="Q155" s="93"/>
      <c r="R155" s="91"/>
      <c r="S155" s="91"/>
      <c r="T155" s="712"/>
      <c r="U155" s="91"/>
      <c r="V155" s="91"/>
      <c r="W155" s="104"/>
      <c r="X155" s="91"/>
    </row>
    <row r="156" spans="1:24" s="144" customFormat="1" ht="12.75" customHeight="1" x14ac:dyDescent="0.25">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25">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t="str">
        <f>IF($G$11="","",L157)</f>
        <v/>
      </c>
      <c r="U157" s="91"/>
      <c r="V157" s="157" t="str">
        <f>IF(AND(G141&lt;&gt;"",L157&lt;&gt;""),TRUE,IF(AND(G141&lt;&gt;"",OR(L157="",L146&lt;&gt;"")),CONST_ErrorOrMissing&amp;C141,CONST_NA))</f>
        <v>n.a.</v>
      </c>
      <c r="W157" s="104"/>
      <c r="X157" s="91"/>
    </row>
    <row r="158" spans="1:24" s="144" customFormat="1" ht="12.75" customHeight="1" x14ac:dyDescent="0.25">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25">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25">
      <c r="A160" s="91"/>
      <c r="B160" s="93"/>
      <c r="C160" s="93"/>
      <c r="D160" s="166"/>
      <c r="E160" s="167"/>
      <c r="N160" s="93"/>
      <c r="O160" s="901"/>
      <c r="Q160" s="93"/>
      <c r="R160" s="91"/>
      <c r="S160" s="91"/>
      <c r="T160" s="712"/>
      <c r="U160" s="91"/>
      <c r="V160" s="91"/>
      <c r="W160" s="104"/>
      <c r="X160" s="91"/>
    </row>
    <row r="161" spans="1:24" s="144" customFormat="1" ht="12.75" customHeight="1" x14ac:dyDescent="0.25">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25">
      <c r="A162" s="91"/>
      <c r="B162" s="93"/>
      <c r="C162" s="93"/>
      <c r="D162" s="173">
        <v>1</v>
      </c>
      <c r="E162" s="174" t="str">
        <f t="shared" ref="E162:E170" si="10">IF(INDEX(CNTR_List_ExistProdProcNames,S162)=CONST_NA,"",INDEX(CNTR_List_ExistProdProcNames,S162))</f>
        <v/>
      </c>
      <c r="F162" s="175"/>
      <c r="G162" s="175"/>
      <c r="H162" s="175"/>
      <c r="I162" s="175"/>
      <c r="J162" s="176"/>
      <c r="K162" s="155" t="str">
        <f>K146</f>
        <v/>
      </c>
      <c r="L162" s="29"/>
      <c r="N162" s="93"/>
      <c r="O162" s="902"/>
      <c r="Q162" s="93"/>
      <c r="R162" s="102" t="str">
        <f>CONST_PrecursorToGoodInput&amp;G141 &amp;"_"&amp;E162</f>
        <v>PrecToGood__</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25">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25">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25">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25">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25">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25">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25">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25">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25">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25">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25">
      <c r="C174" s="187"/>
      <c r="D174" s="188"/>
      <c r="E174" s="189"/>
      <c r="F174" s="190"/>
      <c r="G174" s="190"/>
      <c r="H174" s="190"/>
      <c r="I174" s="190"/>
      <c r="J174" s="190"/>
      <c r="K174" s="190"/>
      <c r="L174" s="190"/>
      <c r="M174" s="190"/>
      <c r="N174" s="191"/>
      <c r="O174" s="901"/>
      <c r="P174" s="144"/>
      <c r="T174" s="712"/>
    </row>
    <row r="175" spans="1:24" ht="15" customHeight="1" x14ac:dyDescent="0.25">
      <c r="C175" s="192"/>
      <c r="D175" s="193" t="str">
        <f>Translations!$B$254</f>
        <v>Calculation of the attributed emissions:</v>
      </c>
      <c r="E175" s="194"/>
      <c r="F175" s="195"/>
      <c r="G175" s="195"/>
      <c r="H175" s="195"/>
      <c r="I175" s="195"/>
      <c r="J175" s="1317" t="str">
        <f>IF(G141="","",G141)</f>
        <v/>
      </c>
      <c r="K175" s="1317"/>
      <c r="L175" s="1317"/>
      <c r="M175" s="1317"/>
      <c r="N175" s="196"/>
      <c r="O175" s="901"/>
      <c r="P175" s="144"/>
      <c r="T175" s="712"/>
    </row>
    <row r="176" spans="1:24" ht="5.0999999999999996" customHeight="1" x14ac:dyDescent="0.25">
      <c r="C176" s="192"/>
      <c r="D176" s="197"/>
      <c r="E176" s="198"/>
      <c r="F176" s="195"/>
      <c r="G176" s="195"/>
      <c r="H176" s="195"/>
      <c r="I176" s="195"/>
      <c r="J176" s="195"/>
      <c r="K176" s="195"/>
      <c r="L176" s="195"/>
      <c r="M176" s="195"/>
      <c r="N176" s="196"/>
      <c r="O176" s="901"/>
      <c r="P176" s="144"/>
      <c r="T176" s="712"/>
    </row>
    <row r="177" spans="3:24" ht="12.75" customHeight="1" x14ac:dyDescent="0.25">
      <c r="C177" s="192"/>
      <c r="D177" s="199"/>
      <c r="E177" s="1318" t="str">
        <f ca="1">HYPERLINK("#"&amp;ADDRESS(MATCH($S177,G_FurtherGuidance!$S:$S,0),3,,,G_FurtherGuidance!$U$2),CONST_LinkToGuidanceSheet)</f>
        <v>Please click on this link for further guidance on how to complete this section.</v>
      </c>
      <c r="F177" s="1319"/>
      <c r="G177" s="1319"/>
      <c r="H177" s="1319"/>
      <c r="I177" s="1319"/>
      <c r="J177" s="1319"/>
      <c r="K177" s="1319"/>
      <c r="L177" s="1319"/>
      <c r="M177" s="1319"/>
      <c r="N177" s="202"/>
      <c r="O177" s="901"/>
      <c r="P177" s="144"/>
      <c r="R177" s="104" t="s">
        <v>2771</v>
      </c>
      <c r="S177" s="105">
        <v>3</v>
      </c>
      <c r="T177" s="712"/>
    </row>
    <row r="178" spans="3:24" ht="5.0999999999999996" customHeight="1" x14ac:dyDescent="0.25">
      <c r="C178" s="192"/>
      <c r="D178" s="197"/>
      <c r="E178" s="198"/>
      <c r="F178" s="195"/>
      <c r="G178" s="195"/>
      <c r="H178" s="195"/>
      <c r="I178" s="195"/>
      <c r="J178" s="198"/>
      <c r="K178" s="195"/>
      <c r="L178" s="195"/>
      <c r="M178" s="195"/>
      <c r="N178" s="196"/>
      <c r="O178" s="901"/>
      <c r="P178" s="144"/>
      <c r="T178" s="712"/>
      <c r="X178" s="104"/>
    </row>
    <row r="179" spans="3:24" ht="24.95" customHeight="1" x14ac:dyDescent="0.2">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25">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25">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25">
      <c r="C182" s="192"/>
      <c r="D182" s="204"/>
      <c r="E182" s="198"/>
      <c r="F182" s="195"/>
      <c r="G182" s="195"/>
      <c r="H182" s="195"/>
      <c r="I182" s="195"/>
      <c r="J182" s="195"/>
      <c r="K182" s="198"/>
      <c r="L182" s="195"/>
      <c r="M182" s="195"/>
      <c r="N182" s="196"/>
      <c r="O182" s="901"/>
      <c r="P182" s="144"/>
      <c r="T182" s="712"/>
      <c r="X182" s="104"/>
    </row>
    <row r="183" spans="3:24" ht="12.75" customHeight="1" x14ac:dyDescent="0.25">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25">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25">
      <c r="C185" s="192"/>
      <c r="D185" s="204"/>
      <c r="E185" s="198"/>
      <c r="F185" s="195"/>
      <c r="G185" s="195"/>
      <c r="H185" s="195"/>
      <c r="I185" s="195"/>
      <c r="J185" s="195"/>
      <c r="K185" s="195"/>
      <c r="L185" s="199"/>
      <c r="M185" s="199"/>
      <c r="N185" s="196"/>
      <c r="O185" s="901"/>
      <c r="P185" s="144"/>
      <c r="T185" s="712"/>
    </row>
    <row r="186" spans="3:24" ht="12.75" customHeight="1" x14ac:dyDescent="0.25">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25">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25">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25">
      <c r="C189" s="192"/>
      <c r="D189" s="204"/>
      <c r="E189" s="198"/>
      <c r="F189" s="195"/>
      <c r="G189" s="195"/>
      <c r="H189" s="195"/>
      <c r="I189" s="195"/>
      <c r="J189" s="195"/>
      <c r="K189" s="195"/>
      <c r="L189" s="199"/>
      <c r="M189" s="199"/>
      <c r="N189" s="196"/>
      <c r="O189" s="901"/>
      <c r="P189" s="144"/>
      <c r="T189" s="712"/>
    </row>
    <row r="190" spans="3:24" ht="12.75" customHeight="1" x14ac:dyDescent="0.25">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25">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25">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25">
      <c r="C193" s="192"/>
      <c r="D193" s="204"/>
      <c r="E193" s="198"/>
      <c r="F193" s="195"/>
      <c r="G193" s="195"/>
      <c r="H193" s="195"/>
      <c r="I193" s="195"/>
      <c r="J193" s="195"/>
      <c r="K193" s="195"/>
      <c r="L193" s="195"/>
      <c r="M193" s="195"/>
      <c r="N193" s="196"/>
      <c r="O193" s="901"/>
      <c r="P193" s="144"/>
      <c r="T193" s="712"/>
    </row>
    <row r="194" spans="1:24" ht="12.75" customHeight="1" x14ac:dyDescent="0.25">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25">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25">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25">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25">
      <c r="C198" s="192"/>
      <c r="D198" s="204"/>
      <c r="E198" s="198"/>
      <c r="F198" s="195"/>
      <c r="G198" s="195"/>
      <c r="H198" s="195"/>
      <c r="I198" s="195"/>
      <c r="J198" s="195"/>
      <c r="K198" s="195"/>
      <c r="L198" s="195"/>
      <c r="M198" s="195"/>
      <c r="N198" s="196"/>
      <c r="O198" s="901"/>
      <c r="P198" s="144"/>
      <c r="T198" s="712"/>
    </row>
    <row r="199" spans="1:24" ht="12.75" customHeight="1" x14ac:dyDescent="0.25">
      <c r="C199" s="192"/>
      <c r="D199" s="204"/>
      <c r="E199" s="198"/>
      <c r="F199" s="195"/>
      <c r="G199" s="195"/>
      <c r="H199" s="195"/>
      <c r="I199" s="195"/>
      <c r="J199" s="195"/>
      <c r="K199" s="195"/>
      <c r="L199" s="195"/>
      <c r="M199" s="195"/>
      <c r="N199" s="196"/>
      <c r="O199" s="901"/>
      <c r="P199" s="144"/>
      <c r="T199" s="712"/>
      <c r="X199" s="171"/>
    </row>
    <row r="200" spans="1:24" ht="12.75" customHeight="1" x14ac:dyDescent="0.25">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25">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25">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
      <c r="B205" s="145"/>
      <c r="C205" s="145"/>
      <c r="D205" s="145"/>
      <c r="E205" s="145"/>
      <c r="F205" s="145"/>
      <c r="G205" s="145"/>
      <c r="H205" s="145"/>
      <c r="I205" s="145"/>
      <c r="J205" s="145"/>
      <c r="K205" s="145"/>
      <c r="L205" s="145"/>
      <c r="M205" s="145"/>
      <c r="N205" s="145"/>
      <c r="O205" s="903"/>
      <c r="P205" s="144"/>
      <c r="T205" s="712"/>
    </row>
    <row r="206" spans="1:24" ht="18" customHeight="1" thickBot="1" x14ac:dyDescent="0.3">
      <c r="C206" s="147">
        <f>C141+1</f>
        <v>4</v>
      </c>
      <c r="D206" s="148" t="str">
        <f>CONST_ProductionProcess &amp; " " &amp; C206 &amp; ":"</f>
        <v>Production process 4:</v>
      </c>
      <c r="G206" s="1310" t="str">
        <f>IF(INDEX(CNTR_List_ExistProdProcNames,R206)=CONST_NA,"",INDEX(CNTR_List_ExistProdProcNames,R206))</f>
        <v/>
      </c>
      <c r="H206" s="1311"/>
      <c r="I206" s="1311"/>
      <c r="J206" s="1311"/>
      <c r="K206" s="1312"/>
      <c r="L206" s="1313" t="str">
        <f>IF(INDEX(CNTR_List_ExistProdProc,R206)=CONST_NA,"",INDEX(CNTR_List_ExistProdProc,R206))</f>
        <v/>
      </c>
      <c r="M206" s="1314"/>
      <c r="N206" s="1315"/>
      <c r="O206" s="901"/>
      <c r="P206" s="144"/>
      <c r="R206" s="149">
        <f>C206</f>
        <v>4</v>
      </c>
      <c r="T206" s="712"/>
      <c r="W206" s="104" t="s">
        <v>2748</v>
      </c>
      <c r="X206" s="150" t="b">
        <f>AND(CNTR_HasEntriesA,G206="")</f>
        <v>0</v>
      </c>
    </row>
    <row r="207" spans="1:24" ht="5.0999999999999996" customHeight="1" x14ac:dyDescent="0.25">
      <c r="D207" s="103"/>
      <c r="E207" s="100"/>
      <c r="O207" s="901"/>
      <c r="P207" s="144"/>
      <c r="T207" s="712"/>
    </row>
    <row r="208" spans="1:24" ht="12.75" customHeight="1" x14ac:dyDescent="0.25">
      <c r="D208" s="103"/>
      <c r="E208" s="1289" t="str">
        <f ca="1">HYPERLINK("#"&amp;ADDRESS(MATCH($S208,G_FurtherGuidance!$S:$S,0),3,,,G_FurtherGuidance!$U$2),CONST_LinkToGuidanceSheet)</f>
        <v>Please click on this link for further guidance on how to complete this section.</v>
      </c>
      <c r="F208" s="1316"/>
      <c r="G208" s="1316"/>
      <c r="H208" s="1316"/>
      <c r="I208" s="1316"/>
      <c r="J208" s="1316"/>
      <c r="K208" s="1316"/>
      <c r="L208" s="1316"/>
      <c r="M208" s="1316"/>
      <c r="O208" s="901"/>
      <c r="P208" s="144"/>
      <c r="R208" s="104" t="s">
        <v>2771</v>
      </c>
      <c r="S208" s="105">
        <v>3</v>
      </c>
      <c r="T208" s="712"/>
    </row>
    <row r="209" spans="1:24" ht="5.0999999999999996" customHeight="1" x14ac:dyDescent="0.25">
      <c r="D209" s="103"/>
      <c r="E209" s="100"/>
      <c r="O209" s="901"/>
      <c r="P209" s="144"/>
      <c r="T209" s="712"/>
    </row>
    <row r="210" spans="1:24" ht="12.75" customHeight="1" x14ac:dyDescent="0.25">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25">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25">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25">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25">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25">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25">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25">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25">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25">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25">
      <c r="A220" s="91"/>
      <c r="B220" s="93"/>
      <c r="C220" s="93"/>
      <c r="D220" s="166"/>
      <c r="E220" s="167"/>
      <c r="N220" s="93"/>
      <c r="O220" s="901"/>
      <c r="Q220" s="93"/>
      <c r="R220" s="91"/>
      <c r="S220" s="91"/>
      <c r="T220" s="712"/>
      <c r="U220" s="91"/>
      <c r="V220" s="91"/>
      <c r="W220" s="104"/>
      <c r="X220" s="91"/>
    </row>
    <row r="221" spans="1:24" s="144" customFormat="1" ht="12.75" customHeight="1" x14ac:dyDescent="0.25">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25">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t="str">
        <f>IF($G$11="","",L222)</f>
        <v/>
      </c>
      <c r="U222" s="91"/>
      <c r="V222" s="157" t="str">
        <f>IF(AND(G206&lt;&gt;"",L222&lt;&gt;""),TRUE,IF(AND(G206&lt;&gt;"",OR(L222="",L211&lt;&gt;"")),CONST_ErrorOrMissing&amp;C206,CONST_NA))</f>
        <v>n.a.</v>
      </c>
      <c r="W222" s="104"/>
      <c r="X222" s="91"/>
    </row>
    <row r="223" spans="1:24" s="144" customFormat="1" ht="12.75" customHeight="1" x14ac:dyDescent="0.25">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25">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25">
      <c r="A225" s="91"/>
      <c r="B225" s="93"/>
      <c r="C225" s="93"/>
      <c r="D225" s="166"/>
      <c r="E225" s="167"/>
      <c r="N225" s="93"/>
      <c r="O225" s="901"/>
      <c r="Q225" s="93"/>
      <c r="R225" s="91"/>
      <c r="S225" s="91"/>
      <c r="T225" s="712"/>
      <c r="U225" s="91"/>
      <c r="V225" s="91"/>
      <c r="W225" s="104"/>
      <c r="X225" s="91"/>
    </row>
    <row r="226" spans="1:24" s="144" customFormat="1" ht="12.75" customHeight="1" x14ac:dyDescent="0.25">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25">
      <c r="A227" s="91"/>
      <c r="B227" s="93"/>
      <c r="C227" s="93"/>
      <c r="D227" s="173">
        <v>1</v>
      </c>
      <c r="E227" s="174" t="str">
        <f t="shared" ref="E227:E235" si="14">IF(INDEX(CNTR_List_ExistProdProcNames,S227)=CONST_NA,"",INDEX(CNTR_List_ExistProdProcNames,S227))</f>
        <v/>
      </c>
      <c r="F227" s="175"/>
      <c r="G227" s="175"/>
      <c r="H227" s="175"/>
      <c r="I227" s="175"/>
      <c r="J227" s="176"/>
      <c r="K227" s="155" t="str">
        <f>K211</f>
        <v/>
      </c>
      <c r="L227" s="29"/>
      <c r="N227" s="93"/>
      <c r="O227" s="902"/>
      <c r="Q227" s="93"/>
      <c r="R227" s="102" t="str">
        <f>CONST_PrecursorToGoodInput&amp;G206 &amp;"_"&amp;E227</f>
        <v>PrecToGood__</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25">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25">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25">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25">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25">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25">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25">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25">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25">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25">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25">
      <c r="C239" s="187"/>
      <c r="D239" s="188"/>
      <c r="E239" s="189"/>
      <c r="F239" s="190"/>
      <c r="G239" s="190"/>
      <c r="H239" s="190"/>
      <c r="I239" s="190"/>
      <c r="J239" s="190"/>
      <c r="K239" s="190"/>
      <c r="L239" s="190"/>
      <c r="M239" s="190"/>
      <c r="N239" s="191"/>
      <c r="O239" s="901"/>
      <c r="P239" s="144"/>
      <c r="T239" s="712"/>
    </row>
    <row r="240" spans="1:24" ht="15" customHeight="1" x14ac:dyDescent="0.25">
      <c r="C240" s="192"/>
      <c r="D240" s="193" t="str">
        <f>Translations!$B$254</f>
        <v>Calculation of the attributed emissions:</v>
      </c>
      <c r="E240" s="194"/>
      <c r="F240" s="195"/>
      <c r="G240" s="195"/>
      <c r="H240" s="195"/>
      <c r="I240" s="195"/>
      <c r="J240" s="1317" t="str">
        <f>IF(G206="","",G206)</f>
        <v/>
      </c>
      <c r="K240" s="1317"/>
      <c r="L240" s="1317"/>
      <c r="M240" s="1317"/>
      <c r="N240" s="196"/>
      <c r="O240" s="901"/>
      <c r="P240" s="144"/>
      <c r="T240" s="712"/>
    </row>
    <row r="241" spans="3:24" ht="5.0999999999999996" customHeight="1" x14ac:dyDescent="0.25">
      <c r="C241" s="192"/>
      <c r="D241" s="197"/>
      <c r="E241" s="198"/>
      <c r="F241" s="195"/>
      <c r="G241" s="195"/>
      <c r="H241" s="195"/>
      <c r="I241" s="195"/>
      <c r="J241" s="195"/>
      <c r="K241" s="195"/>
      <c r="L241" s="195"/>
      <c r="M241" s="195"/>
      <c r="N241" s="196"/>
      <c r="O241" s="901"/>
      <c r="P241" s="144"/>
      <c r="T241" s="712"/>
    </row>
    <row r="242" spans="3:24" ht="12.75" customHeight="1" x14ac:dyDescent="0.25">
      <c r="C242" s="192"/>
      <c r="D242" s="199"/>
      <c r="E242" s="1318" t="str">
        <f ca="1">HYPERLINK("#"&amp;ADDRESS(MATCH($S242,G_FurtherGuidance!$S:$S,0),3,,,G_FurtherGuidance!$U$2),CONST_LinkToGuidanceSheet)</f>
        <v>Please click on this link for further guidance on how to complete this section.</v>
      </c>
      <c r="F242" s="1319"/>
      <c r="G242" s="1319"/>
      <c r="H242" s="1319"/>
      <c r="I242" s="1319"/>
      <c r="J242" s="1319"/>
      <c r="K242" s="1319"/>
      <c r="L242" s="1319"/>
      <c r="M242" s="1319"/>
      <c r="N242" s="202"/>
      <c r="O242" s="901"/>
      <c r="P242" s="144"/>
      <c r="R242" s="104" t="s">
        <v>2771</v>
      </c>
      <c r="S242" s="105">
        <v>3</v>
      </c>
      <c r="T242" s="712"/>
    </row>
    <row r="243" spans="3:24" ht="5.0999999999999996" customHeight="1" x14ac:dyDescent="0.25">
      <c r="C243" s="192"/>
      <c r="D243" s="197"/>
      <c r="E243" s="198"/>
      <c r="F243" s="195"/>
      <c r="G243" s="195"/>
      <c r="H243" s="195"/>
      <c r="I243" s="195"/>
      <c r="J243" s="198"/>
      <c r="K243" s="195"/>
      <c r="L243" s="195"/>
      <c r="M243" s="195"/>
      <c r="N243" s="196"/>
      <c r="O243" s="901"/>
      <c r="P243" s="144"/>
      <c r="T243" s="712"/>
      <c r="X243" s="104"/>
    </row>
    <row r="244" spans="3:24" ht="24.95" customHeight="1" x14ac:dyDescent="0.2">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25">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25">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25">
      <c r="C247" s="192"/>
      <c r="D247" s="204"/>
      <c r="E247" s="198"/>
      <c r="F247" s="195"/>
      <c r="G247" s="195"/>
      <c r="H247" s="195"/>
      <c r="I247" s="195"/>
      <c r="J247" s="195"/>
      <c r="K247" s="198"/>
      <c r="L247" s="195"/>
      <c r="M247" s="195"/>
      <c r="N247" s="196"/>
      <c r="O247" s="901"/>
      <c r="P247" s="144"/>
      <c r="T247" s="712"/>
      <c r="X247" s="104"/>
    </row>
    <row r="248" spans="3:24" ht="12.75" customHeight="1" x14ac:dyDescent="0.25">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25">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25">
      <c r="C250" s="192"/>
      <c r="D250" s="204"/>
      <c r="E250" s="198"/>
      <c r="F250" s="195"/>
      <c r="G250" s="195"/>
      <c r="H250" s="195"/>
      <c r="I250" s="195"/>
      <c r="J250" s="195"/>
      <c r="K250" s="195"/>
      <c r="L250" s="199"/>
      <c r="M250" s="199"/>
      <c r="N250" s="196"/>
      <c r="O250" s="901"/>
      <c r="P250" s="144"/>
      <c r="T250" s="712"/>
    </row>
    <row r="251" spans="3:24" ht="12.75" customHeight="1" x14ac:dyDescent="0.25">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25">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25">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25">
      <c r="C254" s="192"/>
      <c r="D254" s="204"/>
      <c r="E254" s="198"/>
      <c r="F254" s="195"/>
      <c r="G254" s="195"/>
      <c r="H254" s="195"/>
      <c r="I254" s="195"/>
      <c r="J254" s="195"/>
      <c r="K254" s="195"/>
      <c r="L254" s="199"/>
      <c r="M254" s="199"/>
      <c r="N254" s="196"/>
      <c r="O254" s="901"/>
      <c r="P254" s="144"/>
      <c r="T254" s="712"/>
    </row>
    <row r="255" spans="3:24" ht="12.75" customHeight="1" x14ac:dyDescent="0.25">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25">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25">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25">
      <c r="C258" s="192"/>
      <c r="D258" s="204"/>
      <c r="E258" s="198"/>
      <c r="F258" s="195"/>
      <c r="G258" s="195"/>
      <c r="H258" s="195"/>
      <c r="I258" s="195"/>
      <c r="J258" s="195"/>
      <c r="K258" s="195"/>
      <c r="L258" s="195"/>
      <c r="M258" s="195"/>
      <c r="N258" s="196"/>
      <c r="O258" s="901"/>
      <c r="P258" s="144"/>
      <c r="T258" s="712"/>
    </row>
    <row r="259" spans="1:24" ht="12.75" customHeight="1" x14ac:dyDescent="0.25">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25">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25">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25">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25">
      <c r="C263" s="192"/>
      <c r="D263" s="204"/>
      <c r="E263" s="198"/>
      <c r="F263" s="195"/>
      <c r="G263" s="195"/>
      <c r="H263" s="195"/>
      <c r="I263" s="195"/>
      <c r="J263" s="195"/>
      <c r="K263" s="195"/>
      <c r="L263" s="195"/>
      <c r="M263" s="195"/>
      <c r="N263" s="196"/>
      <c r="O263" s="901"/>
      <c r="P263" s="144"/>
      <c r="T263" s="712"/>
    </row>
    <row r="264" spans="1:24" ht="12.75" customHeight="1" x14ac:dyDescent="0.25">
      <c r="C264" s="192"/>
      <c r="D264" s="204"/>
      <c r="E264" s="198"/>
      <c r="F264" s="195"/>
      <c r="G264" s="195"/>
      <c r="H264" s="195"/>
      <c r="I264" s="195"/>
      <c r="J264" s="195"/>
      <c r="K264" s="195"/>
      <c r="L264" s="195"/>
      <c r="M264" s="195"/>
      <c r="N264" s="196"/>
      <c r="O264" s="901"/>
      <c r="P264" s="144"/>
      <c r="T264" s="712"/>
      <c r="X264" s="171"/>
    </row>
    <row r="265" spans="1:24" ht="12.75" customHeight="1" x14ac:dyDescent="0.25">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25">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25">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
      <c r="B270" s="145"/>
      <c r="C270" s="145"/>
      <c r="D270" s="145"/>
      <c r="E270" s="145"/>
      <c r="F270" s="145"/>
      <c r="G270" s="145"/>
      <c r="H270" s="145"/>
      <c r="I270" s="145"/>
      <c r="J270" s="145"/>
      <c r="K270" s="145"/>
      <c r="L270" s="145"/>
      <c r="M270" s="145"/>
      <c r="N270" s="145"/>
      <c r="O270" s="903"/>
      <c r="P270" s="144"/>
      <c r="T270" s="712"/>
    </row>
    <row r="271" spans="1:24" ht="18" customHeight="1" thickBot="1" x14ac:dyDescent="0.3">
      <c r="C271" s="147">
        <f>C206+1</f>
        <v>5</v>
      </c>
      <c r="D271" s="148" t="str">
        <f>CONST_ProductionProcess &amp; " " &amp; C271 &amp; ":"</f>
        <v>Production process 5:</v>
      </c>
      <c r="G271" s="1310" t="str">
        <f>IF(INDEX(CNTR_List_ExistProdProcNames,R271)=CONST_NA,"",INDEX(CNTR_List_ExistProdProcNames,R271))</f>
        <v/>
      </c>
      <c r="H271" s="1311"/>
      <c r="I271" s="1311"/>
      <c r="J271" s="1311"/>
      <c r="K271" s="1312"/>
      <c r="L271" s="1313" t="str">
        <f>IF(INDEX(CNTR_List_ExistProdProc,R271)=CONST_NA,"",INDEX(CNTR_List_ExistProdProc,R271))</f>
        <v/>
      </c>
      <c r="M271" s="1314"/>
      <c r="N271" s="1315"/>
      <c r="O271" s="901"/>
      <c r="P271" s="144"/>
      <c r="R271" s="149">
        <f>C271</f>
        <v>5</v>
      </c>
      <c r="T271" s="712"/>
      <c r="W271" s="104" t="s">
        <v>2748</v>
      </c>
      <c r="X271" s="150" t="b">
        <f>AND(CNTR_HasEntriesA,G271="")</f>
        <v>0</v>
      </c>
    </row>
    <row r="272" spans="1:24" ht="5.0999999999999996" customHeight="1" x14ac:dyDescent="0.25">
      <c r="D272" s="103"/>
      <c r="E272" s="100"/>
      <c r="O272" s="901"/>
      <c r="P272" s="144"/>
      <c r="T272" s="712"/>
    </row>
    <row r="273" spans="1:24" ht="12.75" customHeight="1" x14ac:dyDescent="0.25">
      <c r="D273" s="103"/>
      <c r="E273" s="1289" t="str">
        <f ca="1">HYPERLINK("#"&amp;ADDRESS(MATCH($S273,G_FurtherGuidance!$S:$S,0),3,,,G_FurtherGuidance!$U$2),CONST_LinkToGuidanceSheet)</f>
        <v>Please click on this link for further guidance on how to complete this section.</v>
      </c>
      <c r="F273" s="1316"/>
      <c r="G273" s="1316"/>
      <c r="H273" s="1316"/>
      <c r="I273" s="1316"/>
      <c r="J273" s="1316"/>
      <c r="K273" s="1316"/>
      <c r="L273" s="1316"/>
      <c r="M273" s="1316"/>
      <c r="O273" s="901"/>
      <c r="P273" s="144"/>
      <c r="R273" s="104" t="s">
        <v>2771</v>
      </c>
      <c r="S273" s="105">
        <v>3</v>
      </c>
      <c r="T273" s="712"/>
    </row>
    <row r="274" spans="1:24" ht="5.0999999999999996" customHeight="1" x14ac:dyDescent="0.25">
      <c r="D274" s="103"/>
      <c r="E274" s="100"/>
      <c r="O274" s="901"/>
      <c r="P274" s="144"/>
      <c r="T274" s="712"/>
    </row>
    <row r="275" spans="1:24" ht="12.75" customHeight="1" x14ac:dyDescent="0.25">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25">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25">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25">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25">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25">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25">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25">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25">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25">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25">
      <c r="A285" s="91"/>
      <c r="B285" s="93"/>
      <c r="C285" s="93"/>
      <c r="D285" s="166"/>
      <c r="E285" s="167"/>
      <c r="N285" s="93"/>
      <c r="O285" s="901"/>
      <c r="Q285" s="93"/>
      <c r="R285" s="91"/>
      <c r="S285" s="91"/>
      <c r="T285" s="712"/>
      <c r="U285" s="91"/>
      <c r="V285" s="91"/>
      <c r="W285" s="104"/>
      <c r="X285" s="91"/>
    </row>
    <row r="286" spans="1:24" s="144" customFormat="1" ht="12.75" customHeight="1" x14ac:dyDescent="0.25">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25">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t="str">
        <f>IF($G$11="","",L287)</f>
        <v/>
      </c>
      <c r="U287" s="91"/>
      <c r="V287" s="157" t="str">
        <f>IF(AND(G271&lt;&gt;"",L287&lt;&gt;""),TRUE,IF(AND(G271&lt;&gt;"",OR(L287="",L276&lt;&gt;"")),CONST_ErrorOrMissing&amp;C271,CONST_NA))</f>
        <v>n.a.</v>
      </c>
      <c r="W287" s="104"/>
      <c r="X287" s="91"/>
    </row>
    <row r="288" spans="1:24" s="144" customFormat="1" ht="12.75" customHeight="1" x14ac:dyDescent="0.25">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25">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25">
      <c r="A290" s="91"/>
      <c r="B290" s="93"/>
      <c r="C290" s="93"/>
      <c r="D290" s="166"/>
      <c r="E290" s="167"/>
      <c r="N290" s="93"/>
      <c r="O290" s="901"/>
      <c r="Q290" s="93"/>
      <c r="R290" s="91"/>
      <c r="S290" s="91"/>
      <c r="T290" s="712"/>
      <c r="U290" s="91"/>
      <c r="V290" s="91"/>
      <c r="W290" s="104"/>
      <c r="X290" s="91"/>
    </row>
    <row r="291" spans="1:24" s="144" customFormat="1" ht="12.75" customHeight="1" x14ac:dyDescent="0.25">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25">
      <c r="A292" s="91"/>
      <c r="B292" s="93"/>
      <c r="C292" s="93"/>
      <c r="D292" s="173">
        <v>1</v>
      </c>
      <c r="E292" s="174" t="str">
        <f t="shared" ref="E292:E300" si="18">IF(INDEX(CNTR_List_ExistProdProcNames,S292)=CONST_NA,"",INDEX(CNTR_List_ExistProdProcNames,S292))</f>
        <v/>
      </c>
      <c r="F292" s="175"/>
      <c r="G292" s="175"/>
      <c r="H292" s="175"/>
      <c r="I292" s="175"/>
      <c r="J292" s="176"/>
      <c r="K292" s="155" t="str">
        <f>K276</f>
        <v/>
      </c>
      <c r="L292" s="29"/>
      <c r="N292" s="93"/>
      <c r="O292" s="902"/>
      <c r="Q292" s="93"/>
      <c r="R292" s="102" t="str">
        <f>CONST_PrecursorToGoodInput&amp;G271 &amp;"_"&amp;E292</f>
        <v>PrecToGood__</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25">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25">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25">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25">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25">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25">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25">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25">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25">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25">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25">
      <c r="C304" s="187"/>
      <c r="D304" s="188"/>
      <c r="E304" s="189"/>
      <c r="F304" s="190"/>
      <c r="G304" s="190"/>
      <c r="H304" s="190"/>
      <c r="I304" s="190"/>
      <c r="J304" s="190"/>
      <c r="K304" s="190"/>
      <c r="L304" s="190"/>
      <c r="M304" s="190"/>
      <c r="N304" s="191"/>
      <c r="O304" s="901"/>
      <c r="P304" s="144"/>
      <c r="T304" s="712"/>
    </row>
    <row r="305" spans="3:24" ht="15" customHeight="1" x14ac:dyDescent="0.25">
      <c r="C305" s="192"/>
      <c r="D305" s="193" t="str">
        <f>Translations!$B$254</f>
        <v>Calculation of the attributed emissions:</v>
      </c>
      <c r="E305" s="194"/>
      <c r="F305" s="195"/>
      <c r="G305" s="195"/>
      <c r="H305" s="195"/>
      <c r="I305" s="195"/>
      <c r="J305" s="1317" t="str">
        <f>IF(G271="","",G271)</f>
        <v/>
      </c>
      <c r="K305" s="1317"/>
      <c r="L305" s="1317"/>
      <c r="M305" s="1317"/>
      <c r="N305" s="196"/>
      <c r="O305" s="901"/>
      <c r="P305" s="144"/>
      <c r="T305" s="712"/>
    </row>
    <row r="306" spans="3:24" ht="5.0999999999999996" customHeight="1" x14ac:dyDescent="0.25">
      <c r="C306" s="192"/>
      <c r="D306" s="197"/>
      <c r="E306" s="198"/>
      <c r="F306" s="195"/>
      <c r="G306" s="195"/>
      <c r="H306" s="195"/>
      <c r="I306" s="195"/>
      <c r="J306" s="195"/>
      <c r="K306" s="195"/>
      <c r="L306" s="195"/>
      <c r="M306" s="195"/>
      <c r="N306" s="196"/>
      <c r="O306" s="901"/>
      <c r="P306" s="144"/>
      <c r="T306" s="712"/>
    </row>
    <row r="307" spans="3:24" ht="12.75" customHeight="1" x14ac:dyDescent="0.25">
      <c r="C307" s="192"/>
      <c r="D307" s="199"/>
      <c r="E307" s="1318" t="str">
        <f ca="1">HYPERLINK("#"&amp;ADDRESS(MATCH($S307,G_FurtherGuidance!$S:$S,0),3,,,G_FurtherGuidance!$U$2),CONST_LinkToGuidanceSheet)</f>
        <v>Please click on this link for further guidance on how to complete this section.</v>
      </c>
      <c r="F307" s="1319"/>
      <c r="G307" s="1319"/>
      <c r="H307" s="1319"/>
      <c r="I307" s="1319"/>
      <c r="J307" s="1319"/>
      <c r="K307" s="1319"/>
      <c r="L307" s="1319"/>
      <c r="M307" s="1319"/>
      <c r="N307" s="202"/>
      <c r="O307" s="901"/>
      <c r="P307" s="144"/>
      <c r="R307" s="104" t="s">
        <v>2771</v>
      </c>
      <c r="S307" s="105">
        <v>3</v>
      </c>
      <c r="T307" s="712"/>
    </row>
    <row r="308" spans="3:24" ht="5.0999999999999996" customHeight="1" x14ac:dyDescent="0.25">
      <c r="C308" s="192"/>
      <c r="D308" s="197"/>
      <c r="E308" s="198"/>
      <c r="F308" s="195"/>
      <c r="G308" s="195"/>
      <c r="H308" s="195"/>
      <c r="I308" s="195"/>
      <c r="J308" s="198"/>
      <c r="K308" s="195"/>
      <c r="L308" s="195"/>
      <c r="M308" s="195"/>
      <c r="N308" s="196"/>
      <c r="O308" s="901"/>
      <c r="P308" s="144"/>
      <c r="T308" s="712"/>
      <c r="X308" s="104"/>
    </row>
    <row r="309" spans="3:24" ht="24.95" customHeight="1" x14ac:dyDescent="0.2">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25">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25">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25">
      <c r="C312" s="192"/>
      <c r="D312" s="204"/>
      <c r="E312" s="198"/>
      <c r="F312" s="195"/>
      <c r="G312" s="195"/>
      <c r="H312" s="195"/>
      <c r="I312" s="195"/>
      <c r="J312" s="195"/>
      <c r="K312" s="198"/>
      <c r="L312" s="195"/>
      <c r="M312" s="195"/>
      <c r="N312" s="196"/>
      <c r="O312" s="901"/>
      <c r="P312" s="144"/>
      <c r="T312" s="712"/>
      <c r="X312" s="104"/>
    </row>
    <row r="313" spans="3:24" ht="12.75" customHeight="1" x14ac:dyDescent="0.25">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25">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25">
      <c r="C315" s="192"/>
      <c r="D315" s="204"/>
      <c r="E315" s="198"/>
      <c r="F315" s="195"/>
      <c r="G315" s="195"/>
      <c r="H315" s="195"/>
      <c r="I315" s="195"/>
      <c r="J315" s="195"/>
      <c r="K315" s="195"/>
      <c r="L315" s="199"/>
      <c r="M315" s="199"/>
      <c r="N315" s="196"/>
      <c r="O315" s="901"/>
      <c r="P315" s="144"/>
      <c r="T315" s="712"/>
    </row>
    <row r="316" spans="3:24" ht="12.75" customHeight="1" x14ac:dyDescent="0.25">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25">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25">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25">
      <c r="C319" s="192"/>
      <c r="D319" s="204"/>
      <c r="E319" s="198"/>
      <c r="F319" s="195"/>
      <c r="G319" s="195"/>
      <c r="H319" s="195"/>
      <c r="I319" s="195"/>
      <c r="J319" s="195"/>
      <c r="K319" s="195"/>
      <c r="L319" s="199"/>
      <c r="M319" s="199"/>
      <c r="N319" s="196"/>
      <c r="O319" s="901"/>
      <c r="P319" s="144"/>
      <c r="T319" s="712"/>
    </row>
    <row r="320" spans="3:24" ht="12.75" customHeight="1" x14ac:dyDescent="0.25">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25">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25">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25">
      <c r="C323" s="192"/>
      <c r="D323" s="204"/>
      <c r="E323" s="198"/>
      <c r="F323" s="195"/>
      <c r="G323" s="195"/>
      <c r="H323" s="195"/>
      <c r="I323" s="195"/>
      <c r="J323" s="195"/>
      <c r="K323" s="195"/>
      <c r="L323" s="195"/>
      <c r="M323" s="195"/>
      <c r="N323" s="196"/>
      <c r="O323" s="901"/>
      <c r="P323" s="144"/>
      <c r="T323" s="712"/>
    </row>
    <row r="324" spans="1:24" ht="12.75" customHeight="1" x14ac:dyDescent="0.25">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25">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25">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25">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25">
      <c r="C328" s="192"/>
      <c r="D328" s="204"/>
      <c r="E328" s="198"/>
      <c r="F328" s="195"/>
      <c r="G328" s="195"/>
      <c r="H328" s="195"/>
      <c r="I328" s="195"/>
      <c r="J328" s="195"/>
      <c r="K328" s="195"/>
      <c r="L328" s="195"/>
      <c r="M328" s="195"/>
      <c r="N328" s="196"/>
      <c r="O328" s="901"/>
      <c r="P328" s="144"/>
      <c r="T328" s="712"/>
    </row>
    <row r="329" spans="1:24" ht="12.75" customHeight="1" x14ac:dyDescent="0.25">
      <c r="C329" s="192"/>
      <c r="D329" s="204"/>
      <c r="E329" s="198"/>
      <c r="F329" s="195"/>
      <c r="G329" s="195"/>
      <c r="H329" s="195"/>
      <c r="I329" s="195"/>
      <c r="J329" s="195"/>
      <c r="K329" s="195"/>
      <c r="L329" s="195"/>
      <c r="M329" s="195"/>
      <c r="N329" s="196"/>
      <c r="O329" s="901"/>
      <c r="P329" s="144"/>
      <c r="T329" s="712"/>
      <c r="X329" s="171"/>
    </row>
    <row r="330" spans="1:24" ht="12.75" customHeight="1" x14ac:dyDescent="0.25">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25">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25">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
      <c r="B335" s="145"/>
      <c r="C335" s="145"/>
      <c r="D335" s="145"/>
      <c r="E335" s="145"/>
      <c r="F335" s="145"/>
      <c r="G335" s="145"/>
      <c r="H335" s="145"/>
      <c r="I335" s="145"/>
      <c r="J335" s="145"/>
      <c r="K335" s="145"/>
      <c r="L335" s="145"/>
      <c r="M335" s="145"/>
      <c r="N335" s="145"/>
      <c r="O335" s="903"/>
      <c r="P335" s="144"/>
      <c r="T335" s="712"/>
    </row>
    <row r="336" spans="1:24" ht="18" customHeight="1" thickBot="1" x14ac:dyDescent="0.3">
      <c r="C336" s="147">
        <f>C271+1</f>
        <v>6</v>
      </c>
      <c r="D336" s="148" t="str">
        <f>CONST_ProductionProcess &amp; " " &amp; C336 &amp; ":"</f>
        <v>Production process 6:</v>
      </c>
      <c r="G336" s="1310" t="str">
        <f>IF(INDEX(CNTR_List_ExistProdProcNames,R336)=CONST_NA,"",INDEX(CNTR_List_ExistProdProcNames,R336))</f>
        <v/>
      </c>
      <c r="H336" s="1311"/>
      <c r="I336" s="1311"/>
      <c r="J336" s="1311"/>
      <c r="K336" s="1312"/>
      <c r="L336" s="1313" t="str">
        <f>IF(INDEX(CNTR_List_ExistProdProc,R336)=CONST_NA,"",INDEX(CNTR_List_ExistProdProc,R336))</f>
        <v/>
      </c>
      <c r="M336" s="1314"/>
      <c r="N336" s="1315"/>
      <c r="O336" s="901"/>
      <c r="P336" s="144"/>
      <c r="R336" s="149">
        <f>C336</f>
        <v>6</v>
      </c>
      <c r="T336" s="712"/>
      <c r="W336" s="104" t="s">
        <v>2748</v>
      </c>
      <c r="X336" s="150" t="b">
        <f>AND(CNTR_HasEntriesA,G336="")</f>
        <v>0</v>
      </c>
    </row>
    <row r="337" spans="1:24" ht="5.0999999999999996" customHeight="1" x14ac:dyDescent="0.25">
      <c r="D337" s="103"/>
      <c r="E337" s="100"/>
      <c r="O337" s="901"/>
      <c r="P337" s="144"/>
      <c r="T337" s="712"/>
    </row>
    <row r="338" spans="1:24" ht="12.75" customHeight="1" x14ac:dyDescent="0.25">
      <c r="D338" s="103"/>
      <c r="E338" s="1289" t="str">
        <f ca="1">HYPERLINK("#"&amp;ADDRESS(MATCH($S338,G_FurtherGuidance!$S:$S,0),3,,,G_FurtherGuidance!$U$2),CONST_LinkToGuidanceSheet)</f>
        <v>Please click on this link for further guidance on how to complete this section.</v>
      </c>
      <c r="F338" s="1316"/>
      <c r="G338" s="1316"/>
      <c r="H338" s="1316"/>
      <c r="I338" s="1316"/>
      <c r="J338" s="1316"/>
      <c r="K338" s="1316"/>
      <c r="L338" s="1316"/>
      <c r="M338" s="1316"/>
      <c r="O338" s="901"/>
      <c r="P338" s="144"/>
      <c r="R338" s="104" t="s">
        <v>2771</v>
      </c>
      <c r="S338" s="105">
        <v>3</v>
      </c>
      <c r="T338" s="712"/>
    </row>
    <row r="339" spans="1:24" ht="5.0999999999999996" customHeight="1" x14ac:dyDescent="0.25">
      <c r="D339" s="103"/>
      <c r="E339" s="100"/>
      <c r="O339" s="901"/>
      <c r="P339" s="144"/>
      <c r="T339" s="712"/>
    </row>
    <row r="340" spans="1:24" ht="12.75" customHeight="1" x14ac:dyDescent="0.25">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25">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25">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25">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25">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25">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25">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25">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25">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25">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25">
      <c r="A350" s="91"/>
      <c r="B350" s="93"/>
      <c r="C350" s="93"/>
      <c r="D350" s="166"/>
      <c r="E350" s="167"/>
      <c r="N350" s="93"/>
      <c r="O350" s="901"/>
      <c r="Q350" s="93"/>
      <c r="R350" s="91"/>
      <c r="S350" s="91"/>
      <c r="T350" s="712"/>
      <c r="U350" s="91"/>
      <c r="V350" s="91"/>
      <c r="W350" s="104"/>
      <c r="X350" s="91"/>
    </row>
    <row r="351" spans="1:24" s="144" customFormat="1" ht="12.75" customHeight="1" x14ac:dyDescent="0.25">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25">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t="str">
        <f>IF($G$11="","",L352)</f>
        <v/>
      </c>
      <c r="U352" s="91"/>
      <c r="V352" s="157" t="str">
        <f>IF(AND(G336&lt;&gt;"",L352&lt;&gt;""),TRUE,IF(AND(G336&lt;&gt;"",OR(L352="",L341&lt;&gt;"")),CONST_ErrorOrMissing&amp;C336,CONST_NA))</f>
        <v>n.a.</v>
      </c>
      <c r="W352" s="104"/>
      <c r="X352" s="91"/>
    </row>
    <row r="353" spans="1:24" s="144" customFormat="1" ht="12.75" customHeight="1" x14ac:dyDescent="0.25">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25">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25">
      <c r="A355" s="91"/>
      <c r="B355" s="93"/>
      <c r="C355" s="93"/>
      <c r="D355" s="166"/>
      <c r="E355" s="167"/>
      <c r="N355" s="93"/>
      <c r="O355" s="901"/>
      <c r="Q355" s="93"/>
      <c r="R355" s="91"/>
      <c r="S355" s="91"/>
      <c r="T355" s="712"/>
      <c r="U355" s="91"/>
      <c r="V355" s="91"/>
      <c r="W355" s="104"/>
      <c r="X355" s="91"/>
    </row>
    <row r="356" spans="1:24" s="144" customFormat="1" ht="12.75" customHeight="1" x14ac:dyDescent="0.25">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25">
      <c r="A357" s="91"/>
      <c r="B357" s="93"/>
      <c r="C357" s="93"/>
      <c r="D357" s="173">
        <v>1</v>
      </c>
      <c r="E357" s="174" t="str">
        <f t="shared" ref="E357:E365" si="22">IF(INDEX(CNTR_List_ExistProdProcNames,S357)=CONST_NA,"",INDEX(CNTR_List_ExistProdProcNames,S357))</f>
        <v/>
      </c>
      <c r="F357" s="175"/>
      <c r="G357" s="175"/>
      <c r="H357" s="175"/>
      <c r="I357" s="175"/>
      <c r="J357" s="176"/>
      <c r="K357" s="155" t="str">
        <f>K341</f>
        <v/>
      </c>
      <c r="L357" s="29"/>
      <c r="N357" s="93"/>
      <c r="O357" s="902"/>
      <c r="Q357" s="93"/>
      <c r="R357" s="102" t="str">
        <f>CONST_PrecursorToGoodInput&amp;G336 &amp;"_"&amp;E357</f>
        <v>PrecToGood__</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25">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25">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25">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25">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25">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25">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25">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25">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25">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25">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25">
      <c r="C369" s="187"/>
      <c r="D369" s="188"/>
      <c r="E369" s="189"/>
      <c r="F369" s="190"/>
      <c r="G369" s="190"/>
      <c r="H369" s="190"/>
      <c r="I369" s="190"/>
      <c r="J369" s="190"/>
      <c r="K369" s="190"/>
      <c r="L369" s="190"/>
      <c r="M369" s="190"/>
      <c r="N369" s="191"/>
      <c r="O369" s="901"/>
      <c r="P369" s="144"/>
      <c r="T369" s="712"/>
    </row>
    <row r="370" spans="3:24" ht="15" customHeight="1" x14ac:dyDescent="0.25">
      <c r="C370" s="192"/>
      <c r="D370" s="193" t="str">
        <f>Translations!$B$254</f>
        <v>Calculation of the attributed emissions:</v>
      </c>
      <c r="E370" s="194"/>
      <c r="F370" s="195"/>
      <c r="G370" s="195"/>
      <c r="H370" s="195"/>
      <c r="I370" s="195"/>
      <c r="J370" s="1317" t="str">
        <f>IF(G336="","",G336)</f>
        <v/>
      </c>
      <c r="K370" s="1317"/>
      <c r="L370" s="1317"/>
      <c r="M370" s="1317"/>
      <c r="N370" s="196"/>
      <c r="O370" s="901"/>
      <c r="P370" s="144"/>
      <c r="T370" s="712"/>
    </row>
    <row r="371" spans="3:24" ht="5.0999999999999996" customHeight="1" x14ac:dyDescent="0.25">
      <c r="C371" s="192"/>
      <c r="D371" s="197"/>
      <c r="E371" s="198"/>
      <c r="F371" s="195"/>
      <c r="G371" s="195"/>
      <c r="H371" s="195"/>
      <c r="I371" s="195"/>
      <c r="J371" s="195"/>
      <c r="K371" s="195"/>
      <c r="L371" s="195"/>
      <c r="M371" s="195"/>
      <c r="N371" s="196"/>
      <c r="O371" s="901"/>
      <c r="P371" s="144"/>
      <c r="T371" s="712"/>
    </row>
    <row r="372" spans="3:24" ht="12.75" customHeight="1" x14ac:dyDescent="0.25">
      <c r="C372" s="192"/>
      <c r="D372" s="199"/>
      <c r="E372" s="1318" t="str">
        <f ca="1">HYPERLINK("#"&amp;ADDRESS(MATCH($S372,G_FurtherGuidance!$S:$S,0),3,,,G_FurtherGuidance!$U$2),CONST_LinkToGuidanceSheet)</f>
        <v>Please click on this link for further guidance on how to complete this section.</v>
      </c>
      <c r="F372" s="1319"/>
      <c r="G372" s="1319"/>
      <c r="H372" s="1319"/>
      <c r="I372" s="1319"/>
      <c r="J372" s="1319"/>
      <c r="K372" s="1319"/>
      <c r="L372" s="1319"/>
      <c r="M372" s="1319"/>
      <c r="N372" s="202"/>
      <c r="O372" s="901"/>
      <c r="P372" s="144"/>
      <c r="R372" s="104" t="s">
        <v>2771</v>
      </c>
      <c r="S372" s="105">
        <v>3</v>
      </c>
      <c r="T372" s="712"/>
    </row>
    <row r="373" spans="3:24" ht="5.0999999999999996" customHeight="1" x14ac:dyDescent="0.25">
      <c r="C373" s="192"/>
      <c r="D373" s="197"/>
      <c r="E373" s="198"/>
      <c r="F373" s="195"/>
      <c r="G373" s="195"/>
      <c r="H373" s="195"/>
      <c r="I373" s="195"/>
      <c r="J373" s="198"/>
      <c r="K373" s="195"/>
      <c r="L373" s="195"/>
      <c r="M373" s="195"/>
      <c r="N373" s="196"/>
      <c r="O373" s="901"/>
      <c r="P373" s="144"/>
      <c r="T373" s="712"/>
      <c r="X373" s="104"/>
    </row>
    <row r="374" spans="3:24" ht="24.95" customHeight="1" x14ac:dyDescent="0.2">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25">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25">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25">
      <c r="C377" s="192"/>
      <c r="D377" s="204"/>
      <c r="E377" s="198"/>
      <c r="F377" s="195"/>
      <c r="G377" s="195"/>
      <c r="H377" s="195"/>
      <c r="I377" s="195"/>
      <c r="J377" s="195"/>
      <c r="K377" s="198"/>
      <c r="L377" s="195"/>
      <c r="M377" s="195"/>
      <c r="N377" s="196"/>
      <c r="O377" s="901"/>
      <c r="P377" s="144"/>
      <c r="T377" s="712"/>
      <c r="X377" s="104"/>
    </row>
    <row r="378" spans="3:24" ht="12.75" customHeight="1" x14ac:dyDescent="0.25">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25">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25">
      <c r="C380" s="192"/>
      <c r="D380" s="204"/>
      <c r="E380" s="198"/>
      <c r="F380" s="195"/>
      <c r="G380" s="195"/>
      <c r="H380" s="195"/>
      <c r="I380" s="195"/>
      <c r="J380" s="195"/>
      <c r="K380" s="195"/>
      <c r="L380" s="199"/>
      <c r="M380" s="199"/>
      <c r="N380" s="196"/>
      <c r="O380" s="901"/>
      <c r="P380" s="144"/>
      <c r="T380" s="712"/>
    </row>
    <row r="381" spans="3:24" ht="12.75" customHeight="1" x14ac:dyDescent="0.25">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25">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25">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25">
      <c r="C384" s="192"/>
      <c r="D384" s="204"/>
      <c r="E384" s="198"/>
      <c r="F384" s="195"/>
      <c r="G384" s="195"/>
      <c r="H384" s="195"/>
      <c r="I384" s="195"/>
      <c r="J384" s="195"/>
      <c r="K384" s="195"/>
      <c r="L384" s="199"/>
      <c r="M384" s="199"/>
      <c r="N384" s="196"/>
      <c r="O384" s="901"/>
      <c r="P384" s="144"/>
      <c r="T384" s="712"/>
    </row>
    <row r="385" spans="1:24" ht="12.75" customHeight="1" x14ac:dyDescent="0.25">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25">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25">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25">
      <c r="C388" s="192"/>
      <c r="D388" s="204"/>
      <c r="E388" s="198"/>
      <c r="F388" s="195"/>
      <c r="G388" s="195"/>
      <c r="H388" s="195"/>
      <c r="I388" s="195"/>
      <c r="J388" s="195"/>
      <c r="K388" s="195"/>
      <c r="L388" s="195"/>
      <c r="M388" s="195"/>
      <c r="N388" s="196"/>
      <c r="O388" s="901"/>
      <c r="P388" s="144"/>
      <c r="T388" s="712"/>
    </row>
    <row r="389" spans="1:24" ht="12.75" customHeight="1" x14ac:dyDescent="0.25">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25">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25">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25">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25">
      <c r="C393" s="192"/>
      <c r="D393" s="204"/>
      <c r="E393" s="198"/>
      <c r="F393" s="195"/>
      <c r="G393" s="195"/>
      <c r="H393" s="195"/>
      <c r="I393" s="195"/>
      <c r="J393" s="195"/>
      <c r="K393" s="195"/>
      <c r="L393" s="195"/>
      <c r="M393" s="195"/>
      <c r="N393" s="196"/>
      <c r="O393" s="901"/>
      <c r="P393" s="144"/>
      <c r="T393" s="712"/>
    </row>
    <row r="394" spans="1:24" ht="12.75" customHeight="1" x14ac:dyDescent="0.25">
      <c r="C394" s="192"/>
      <c r="D394" s="204"/>
      <c r="E394" s="198"/>
      <c r="F394" s="195"/>
      <c r="G394" s="195"/>
      <c r="H394" s="195"/>
      <c r="I394" s="195"/>
      <c r="J394" s="195"/>
      <c r="K394" s="195"/>
      <c r="L394" s="195"/>
      <c r="M394" s="195"/>
      <c r="N394" s="196"/>
      <c r="O394" s="901"/>
      <c r="P394" s="144"/>
      <c r="T394" s="712"/>
      <c r="X394" s="171"/>
    </row>
    <row r="395" spans="1:24" ht="12.75" customHeight="1" x14ac:dyDescent="0.25">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25">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25">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
      <c r="B400" s="145"/>
      <c r="C400" s="145"/>
      <c r="D400" s="145"/>
      <c r="E400" s="145"/>
      <c r="F400" s="145"/>
      <c r="G400" s="145"/>
      <c r="H400" s="145"/>
      <c r="I400" s="145"/>
      <c r="J400" s="145"/>
      <c r="K400" s="145"/>
      <c r="L400" s="145"/>
      <c r="M400" s="145"/>
      <c r="N400" s="145"/>
      <c r="O400" s="903"/>
      <c r="P400" s="144"/>
      <c r="T400" s="712"/>
    </row>
    <row r="401" spans="1:24" ht="18" customHeight="1" thickBot="1" x14ac:dyDescent="0.3">
      <c r="C401" s="147">
        <f>C336+1</f>
        <v>7</v>
      </c>
      <c r="D401" s="148" t="str">
        <f>CONST_ProductionProcess &amp; " " &amp; C401 &amp; ":"</f>
        <v>Production process 7:</v>
      </c>
      <c r="G401" s="1310" t="str">
        <f>IF(INDEX(CNTR_List_ExistProdProcNames,R401)=CONST_NA,"",INDEX(CNTR_List_ExistProdProcNames,R401))</f>
        <v/>
      </c>
      <c r="H401" s="1311"/>
      <c r="I401" s="1311"/>
      <c r="J401" s="1311"/>
      <c r="K401" s="1312"/>
      <c r="L401" s="1313" t="str">
        <f>IF(INDEX(CNTR_List_ExistProdProc,R401)=CONST_NA,"",INDEX(CNTR_List_ExistProdProc,R401))</f>
        <v/>
      </c>
      <c r="M401" s="1314"/>
      <c r="N401" s="1315"/>
      <c r="O401" s="901"/>
      <c r="P401" s="144"/>
      <c r="R401" s="149">
        <f>C401</f>
        <v>7</v>
      </c>
      <c r="T401" s="712"/>
      <c r="W401" s="104" t="s">
        <v>2748</v>
      </c>
      <c r="X401" s="150" t="b">
        <f>AND(CNTR_HasEntriesA,G401="")</f>
        <v>0</v>
      </c>
    </row>
    <row r="402" spans="1:24" ht="5.0999999999999996" customHeight="1" x14ac:dyDescent="0.25">
      <c r="D402" s="103"/>
      <c r="E402" s="100"/>
      <c r="O402" s="901"/>
      <c r="P402" s="144"/>
      <c r="T402" s="712"/>
    </row>
    <row r="403" spans="1:24" ht="12.75" customHeight="1" x14ac:dyDescent="0.25">
      <c r="D403" s="103"/>
      <c r="E403" s="1289" t="str">
        <f ca="1">HYPERLINK("#"&amp;ADDRESS(MATCH($S403,G_FurtherGuidance!$S:$S,0),3,,,G_FurtherGuidance!$U$2),CONST_LinkToGuidanceSheet)</f>
        <v>Please click on this link for further guidance on how to complete this section.</v>
      </c>
      <c r="F403" s="1316"/>
      <c r="G403" s="1316"/>
      <c r="H403" s="1316"/>
      <c r="I403" s="1316"/>
      <c r="J403" s="1316"/>
      <c r="K403" s="1316"/>
      <c r="L403" s="1316"/>
      <c r="M403" s="1316"/>
      <c r="O403" s="901"/>
      <c r="P403" s="144"/>
      <c r="R403" s="104" t="s">
        <v>2771</v>
      </c>
      <c r="S403" s="105">
        <v>3</v>
      </c>
      <c r="T403" s="712"/>
    </row>
    <row r="404" spans="1:24" ht="5.0999999999999996" customHeight="1" x14ac:dyDescent="0.25">
      <c r="D404" s="103"/>
      <c r="E404" s="100"/>
      <c r="O404" s="901"/>
      <c r="P404" s="144"/>
      <c r="T404" s="712"/>
    </row>
    <row r="405" spans="1:24" ht="12.75" customHeight="1" x14ac:dyDescent="0.25">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25">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25">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25">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25">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25">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25">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25">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25">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25">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25">
      <c r="A415" s="91"/>
      <c r="B415" s="93"/>
      <c r="C415" s="93"/>
      <c r="D415" s="166"/>
      <c r="E415" s="167"/>
      <c r="N415" s="93"/>
      <c r="O415" s="901"/>
      <c r="Q415" s="93"/>
      <c r="R415" s="91"/>
      <c r="S415" s="91"/>
      <c r="T415" s="712"/>
      <c r="U415" s="91"/>
      <c r="V415" s="91"/>
      <c r="W415" s="104"/>
      <c r="X415" s="91"/>
    </row>
    <row r="416" spans="1:24" s="144" customFormat="1" ht="12.75" customHeight="1" x14ac:dyDescent="0.25">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25">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t="str">
        <f>IF($G$11="","",L417)</f>
        <v/>
      </c>
      <c r="U417" s="91"/>
      <c r="V417" s="157" t="str">
        <f>IF(AND(G401&lt;&gt;"",L417&lt;&gt;""),TRUE,IF(AND(G401&lt;&gt;"",OR(L417="",L406&lt;&gt;"")),CONST_ErrorOrMissing&amp;C401,CONST_NA))</f>
        <v>n.a.</v>
      </c>
      <c r="W417" s="104"/>
      <c r="X417" s="91"/>
    </row>
    <row r="418" spans="1:24" s="144" customFormat="1" ht="12.75" customHeight="1" x14ac:dyDescent="0.25">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25">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25">
      <c r="A420" s="91"/>
      <c r="B420" s="93"/>
      <c r="C420" s="93"/>
      <c r="D420" s="166"/>
      <c r="E420" s="167"/>
      <c r="N420" s="93"/>
      <c r="O420" s="901"/>
      <c r="Q420" s="93"/>
      <c r="R420" s="91"/>
      <c r="S420" s="91"/>
      <c r="T420" s="712"/>
      <c r="U420" s="91"/>
      <c r="V420" s="91"/>
      <c r="W420" s="104"/>
      <c r="X420" s="91"/>
    </row>
    <row r="421" spans="1:24" s="144" customFormat="1" ht="12.75" customHeight="1" x14ac:dyDescent="0.25">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25">
      <c r="A422" s="91"/>
      <c r="B422" s="93"/>
      <c r="C422" s="93"/>
      <c r="D422" s="173">
        <v>1</v>
      </c>
      <c r="E422" s="174" t="str">
        <f t="shared" ref="E422:E430" si="26">IF(INDEX(CNTR_List_ExistProdProcNames,S422)=CONST_NA,"",INDEX(CNTR_List_ExistProdProcNames,S422))</f>
        <v/>
      </c>
      <c r="F422" s="175"/>
      <c r="G422" s="175"/>
      <c r="H422" s="175"/>
      <c r="I422" s="175"/>
      <c r="J422" s="176"/>
      <c r="K422" s="155" t="str">
        <f>K406</f>
        <v/>
      </c>
      <c r="L422" s="29"/>
      <c r="N422" s="93"/>
      <c r="O422" s="902"/>
      <c r="Q422" s="93"/>
      <c r="R422" s="102" t="str">
        <f>CONST_PrecursorToGoodInput&amp;G401 &amp;"_"&amp;E422</f>
        <v>PrecToGood__</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25">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25">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25">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25">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25">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25">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25">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25">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25">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25">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25">
      <c r="C434" s="187"/>
      <c r="D434" s="188"/>
      <c r="E434" s="189"/>
      <c r="F434" s="190"/>
      <c r="G434" s="190"/>
      <c r="H434" s="190"/>
      <c r="I434" s="190"/>
      <c r="J434" s="190"/>
      <c r="K434" s="190"/>
      <c r="L434" s="190"/>
      <c r="M434" s="190"/>
      <c r="N434" s="191"/>
      <c r="O434" s="901"/>
      <c r="P434" s="144"/>
      <c r="T434" s="712"/>
    </row>
    <row r="435" spans="1:24" ht="15" customHeight="1" x14ac:dyDescent="0.25">
      <c r="C435" s="192"/>
      <c r="D435" s="193" t="str">
        <f>Translations!$B$254</f>
        <v>Calculation of the attributed emissions:</v>
      </c>
      <c r="E435" s="194"/>
      <c r="F435" s="195"/>
      <c r="G435" s="195"/>
      <c r="H435" s="195"/>
      <c r="I435" s="195"/>
      <c r="J435" s="1317" t="str">
        <f>IF(G401="","",G401)</f>
        <v/>
      </c>
      <c r="K435" s="1317"/>
      <c r="L435" s="1317"/>
      <c r="M435" s="1317"/>
      <c r="N435" s="196"/>
      <c r="O435" s="901"/>
      <c r="P435" s="144"/>
      <c r="T435" s="712"/>
    </row>
    <row r="436" spans="1:24" ht="5.0999999999999996" customHeight="1" x14ac:dyDescent="0.25">
      <c r="C436" s="192"/>
      <c r="D436" s="197"/>
      <c r="E436" s="198"/>
      <c r="F436" s="195"/>
      <c r="G436" s="195"/>
      <c r="H436" s="195"/>
      <c r="I436" s="195"/>
      <c r="J436" s="195"/>
      <c r="K436" s="195"/>
      <c r="L436" s="195"/>
      <c r="M436" s="195"/>
      <c r="N436" s="196"/>
      <c r="O436" s="901"/>
      <c r="P436" s="144"/>
      <c r="T436" s="712"/>
    </row>
    <row r="437" spans="1:24" ht="12.75" customHeight="1" x14ac:dyDescent="0.25">
      <c r="C437" s="192"/>
      <c r="D437" s="199"/>
      <c r="E437" s="1318" t="str">
        <f ca="1">HYPERLINK("#"&amp;ADDRESS(MATCH($S437,G_FurtherGuidance!$S:$S,0),3,,,G_FurtherGuidance!$U$2),CONST_LinkToGuidanceSheet)</f>
        <v>Please click on this link for further guidance on how to complete this section.</v>
      </c>
      <c r="F437" s="1319"/>
      <c r="G437" s="1319"/>
      <c r="H437" s="1319"/>
      <c r="I437" s="1319"/>
      <c r="J437" s="1319"/>
      <c r="K437" s="1319"/>
      <c r="L437" s="1319"/>
      <c r="M437" s="1319"/>
      <c r="N437" s="202"/>
      <c r="O437" s="901"/>
      <c r="P437" s="144"/>
      <c r="R437" s="104" t="s">
        <v>2771</v>
      </c>
      <c r="S437" s="105">
        <v>3</v>
      </c>
      <c r="T437" s="712"/>
    </row>
    <row r="438" spans="1:24" ht="5.0999999999999996" customHeight="1" x14ac:dyDescent="0.25">
      <c r="C438" s="192"/>
      <c r="D438" s="197"/>
      <c r="E438" s="198"/>
      <c r="F438" s="195"/>
      <c r="G438" s="195"/>
      <c r="H438" s="195"/>
      <c r="I438" s="195"/>
      <c r="J438" s="198"/>
      <c r="K438" s="195"/>
      <c r="L438" s="195"/>
      <c r="M438" s="195"/>
      <c r="N438" s="196"/>
      <c r="O438" s="901"/>
      <c r="P438" s="144"/>
      <c r="T438" s="712"/>
      <c r="X438" s="104"/>
    </row>
    <row r="439" spans="1:24" ht="24.95" customHeight="1" x14ac:dyDescent="0.2">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25">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25">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25">
      <c r="C442" s="192"/>
      <c r="D442" s="204"/>
      <c r="E442" s="198"/>
      <c r="F442" s="195"/>
      <c r="G442" s="195"/>
      <c r="H442" s="195"/>
      <c r="I442" s="195"/>
      <c r="J442" s="195"/>
      <c r="K442" s="198"/>
      <c r="L442" s="195"/>
      <c r="M442" s="195"/>
      <c r="N442" s="196"/>
      <c r="O442" s="901"/>
      <c r="P442" s="144"/>
      <c r="T442" s="712"/>
      <c r="X442" s="104"/>
    </row>
    <row r="443" spans="1:24" ht="12.75" customHeight="1" x14ac:dyDescent="0.25">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25">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25">
      <c r="C445" s="192"/>
      <c r="D445" s="204"/>
      <c r="E445" s="198"/>
      <c r="F445" s="195"/>
      <c r="G445" s="195"/>
      <c r="H445" s="195"/>
      <c r="I445" s="195"/>
      <c r="J445" s="195"/>
      <c r="K445" s="195"/>
      <c r="L445" s="199"/>
      <c r="M445" s="199"/>
      <c r="N445" s="196"/>
      <c r="O445" s="901"/>
      <c r="P445" s="144"/>
      <c r="T445" s="712"/>
    </row>
    <row r="446" spans="1:24" ht="12.75" customHeight="1" x14ac:dyDescent="0.25">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25">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25">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25">
      <c r="C449" s="192"/>
      <c r="D449" s="204"/>
      <c r="E449" s="198"/>
      <c r="F449" s="195"/>
      <c r="G449" s="195"/>
      <c r="H449" s="195"/>
      <c r="I449" s="195"/>
      <c r="J449" s="195"/>
      <c r="K449" s="195"/>
      <c r="L449" s="199"/>
      <c r="M449" s="199"/>
      <c r="N449" s="196"/>
      <c r="O449" s="901"/>
      <c r="P449" s="144"/>
      <c r="T449" s="712"/>
    </row>
    <row r="450" spans="1:24" ht="12.75" customHeight="1" x14ac:dyDescent="0.25">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25">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25">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25">
      <c r="C453" s="192"/>
      <c r="D453" s="204"/>
      <c r="E453" s="198"/>
      <c r="F453" s="195"/>
      <c r="G453" s="195"/>
      <c r="H453" s="195"/>
      <c r="I453" s="195"/>
      <c r="J453" s="195"/>
      <c r="K453" s="195"/>
      <c r="L453" s="195"/>
      <c r="M453" s="195"/>
      <c r="N453" s="196"/>
      <c r="O453" s="901"/>
      <c r="P453" s="144"/>
      <c r="T453" s="712"/>
    </row>
    <row r="454" spans="1:24" ht="12.75" customHeight="1" x14ac:dyDescent="0.25">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25">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25">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25">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25">
      <c r="C458" s="192"/>
      <c r="D458" s="204"/>
      <c r="E458" s="198"/>
      <c r="F458" s="195"/>
      <c r="G458" s="195"/>
      <c r="H458" s="195"/>
      <c r="I458" s="195"/>
      <c r="J458" s="195"/>
      <c r="K458" s="195"/>
      <c r="L458" s="195"/>
      <c r="M458" s="195"/>
      <c r="N458" s="196"/>
      <c r="O458" s="901"/>
      <c r="P458" s="144"/>
      <c r="T458" s="712"/>
    </row>
    <row r="459" spans="1:24" ht="12.75" customHeight="1" x14ac:dyDescent="0.25">
      <c r="C459" s="192"/>
      <c r="D459" s="204"/>
      <c r="E459" s="198"/>
      <c r="F459" s="195"/>
      <c r="G459" s="195"/>
      <c r="H459" s="195"/>
      <c r="I459" s="195"/>
      <c r="J459" s="195"/>
      <c r="K459" s="195"/>
      <c r="L459" s="195"/>
      <c r="M459" s="195"/>
      <c r="N459" s="196"/>
      <c r="O459" s="901"/>
      <c r="P459" s="144"/>
      <c r="T459" s="712"/>
      <c r="X459" s="171"/>
    </row>
    <row r="460" spans="1:24" ht="12.75" customHeight="1" x14ac:dyDescent="0.25">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25">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25">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
      <c r="B465" s="145"/>
      <c r="C465" s="145"/>
      <c r="D465" s="145"/>
      <c r="E465" s="145"/>
      <c r="F465" s="145"/>
      <c r="G465" s="145"/>
      <c r="H465" s="145"/>
      <c r="I465" s="145"/>
      <c r="J465" s="145"/>
      <c r="K465" s="145"/>
      <c r="L465" s="145"/>
      <c r="M465" s="145"/>
      <c r="N465" s="145"/>
      <c r="O465" s="903"/>
      <c r="P465" s="144"/>
      <c r="T465" s="712"/>
    </row>
    <row r="466" spans="1:24" ht="18" customHeight="1" thickBot="1" x14ac:dyDescent="0.3">
      <c r="C466" s="147">
        <f>C401+1</f>
        <v>8</v>
      </c>
      <c r="D466" s="148" t="str">
        <f>CONST_ProductionProcess &amp; " " &amp; C466 &amp; ":"</f>
        <v>Production process 8:</v>
      </c>
      <c r="G466" s="1310" t="str">
        <f>IF(INDEX(CNTR_List_ExistProdProcNames,R466)=CONST_NA,"",INDEX(CNTR_List_ExistProdProcNames,R466))</f>
        <v/>
      </c>
      <c r="H466" s="1311"/>
      <c r="I466" s="1311"/>
      <c r="J466" s="1311"/>
      <c r="K466" s="1312"/>
      <c r="L466" s="1313" t="str">
        <f>IF(INDEX(CNTR_List_ExistProdProc,R466)=CONST_NA,"",INDEX(CNTR_List_ExistProdProc,R466))</f>
        <v/>
      </c>
      <c r="M466" s="1314"/>
      <c r="N466" s="1315"/>
      <c r="O466" s="901"/>
      <c r="P466" s="144"/>
      <c r="R466" s="149">
        <f>C466</f>
        <v>8</v>
      </c>
      <c r="T466" s="712"/>
      <c r="W466" s="104" t="s">
        <v>2748</v>
      </c>
      <c r="X466" s="150" t="b">
        <f>AND(CNTR_HasEntriesA,G466="")</f>
        <v>0</v>
      </c>
    </row>
    <row r="467" spans="1:24" ht="5.0999999999999996" customHeight="1" x14ac:dyDescent="0.25">
      <c r="D467" s="103"/>
      <c r="E467" s="100"/>
      <c r="O467" s="901"/>
      <c r="P467" s="144"/>
      <c r="T467" s="712"/>
    </row>
    <row r="468" spans="1:24" ht="12.75" customHeight="1" x14ac:dyDescent="0.25">
      <c r="D468" s="103"/>
      <c r="E468" s="1289" t="str">
        <f ca="1">HYPERLINK("#"&amp;ADDRESS(MATCH($S468,G_FurtherGuidance!$S:$S,0),3,,,G_FurtherGuidance!$U$2),CONST_LinkToGuidanceSheet)</f>
        <v>Please click on this link for further guidance on how to complete this section.</v>
      </c>
      <c r="F468" s="1316"/>
      <c r="G468" s="1316"/>
      <c r="H468" s="1316"/>
      <c r="I468" s="1316"/>
      <c r="J468" s="1316"/>
      <c r="K468" s="1316"/>
      <c r="L468" s="1316"/>
      <c r="M468" s="1316"/>
      <c r="O468" s="901"/>
      <c r="P468" s="144"/>
      <c r="R468" s="104" t="s">
        <v>2771</v>
      </c>
      <c r="S468" s="105">
        <v>3</v>
      </c>
      <c r="T468" s="712"/>
    </row>
    <row r="469" spans="1:24" ht="5.0999999999999996" customHeight="1" x14ac:dyDescent="0.25">
      <c r="D469" s="103"/>
      <c r="E469" s="100"/>
      <c r="O469" s="901"/>
      <c r="P469" s="144"/>
      <c r="T469" s="712"/>
    </row>
    <row r="470" spans="1:24" ht="12.75" customHeight="1" x14ac:dyDescent="0.25">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25">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25">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25">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25">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25">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25">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25">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25">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25">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25">
      <c r="A480" s="91"/>
      <c r="B480" s="93"/>
      <c r="C480" s="93"/>
      <c r="D480" s="166"/>
      <c r="E480" s="167"/>
      <c r="N480" s="93"/>
      <c r="O480" s="901"/>
      <c r="Q480" s="93"/>
      <c r="R480" s="91"/>
      <c r="S480" s="91"/>
      <c r="T480" s="712"/>
      <c r="U480" s="91"/>
      <c r="V480" s="91"/>
      <c r="W480" s="104"/>
      <c r="X480" s="91"/>
    </row>
    <row r="481" spans="1:24" s="144" customFormat="1" ht="12.75" customHeight="1" x14ac:dyDescent="0.25">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25">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t="str">
        <f>IF($G$11="","",L482)</f>
        <v/>
      </c>
      <c r="U482" s="91"/>
      <c r="V482" s="157" t="str">
        <f>IF(AND(G466&lt;&gt;"",L482&lt;&gt;""),TRUE,IF(AND(G466&lt;&gt;"",OR(L482="",L471&lt;&gt;"")),CONST_ErrorOrMissing&amp;C466,CONST_NA))</f>
        <v>n.a.</v>
      </c>
      <c r="W482" s="104"/>
      <c r="X482" s="91"/>
    </row>
    <row r="483" spans="1:24" s="144" customFormat="1" ht="12.75" customHeight="1" x14ac:dyDescent="0.25">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25">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25">
      <c r="A485" s="91"/>
      <c r="B485" s="93"/>
      <c r="C485" s="93"/>
      <c r="D485" s="166"/>
      <c r="E485" s="167"/>
      <c r="N485" s="93"/>
      <c r="O485" s="901"/>
      <c r="Q485" s="93"/>
      <c r="R485" s="91"/>
      <c r="S485" s="91"/>
      <c r="T485" s="712"/>
      <c r="U485" s="91"/>
      <c r="V485" s="91"/>
      <c r="W485" s="104"/>
      <c r="X485" s="91"/>
    </row>
    <row r="486" spans="1:24" s="144" customFormat="1" ht="12.75" customHeight="1" x14ac:dyDescent="0.25">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25">
      <c r="A487" s="91"/>
      <c r="B487" s="93"/>
      <c r="C487" s="93"/>
      <c r="D487" s="173">
        <v>1</v>
      </c>
      <c r="E487" s="174" t="str">
        <f t="shared" ref="E487:E495" si="30">IF(INDEX(CNTR_List_ExistProdProcNames,S487)=CONST_NA,"",INDEX(CNTR_List_ExistProdProcNames,S487))</f>
        <v/>
      </c>
      <c r="F487" s="175"/>
      <c r="G487" s="175"/>
      <c r="H487" s="175"/>
      <c r="I487" s="175"/>
      <c r="J487" s="176"/>
      <c r="K487" s="155" t="str">
        <f>K471</f>
        <v/>
      </c>
      <c r="L487" s="29"/>
      <c r="N487" s="93"/>
      <c r="O487" s="902"/>
      <c r="Q487" s="93"/>
      <c r="R487" s="102" t="str">
        <f>CONST_PrecursorToGoodInput&amp;G466 &amp;"_"&amp;E487</f>
        <v>PrecToGood__</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25">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25">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25">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25">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25">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25">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25">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25">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25">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25">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25">
      <c r="C499" s="187"/>
      <c r="D499" s="188"/>
      <c r="E499" s="189"/>
      <c r="F499" s="190"/>
      <c r="G499" s="190"/>
      <c r="H499" s="190"/>
      <c r="I499" s="190"/>
      <c r="J499" s="190"/>
      <c r="K499" s="190"/>
      <c r="L499" s="190"/>
      <c r="M499" s="190"/>
      <c r="N499" s="191"/>
      <c r="O499" s="901"/>
      <c r="P499" s="144"/>
      <c r="T499" s="712"/>
    </row>
    <row r="500" spans="1:24" ht="15" customHeight="1" x14ac:dyDescent="0.25">
      <c r="C500" s="192"/>
      <c r="D500" s="193" t="str">
        <f>Translations!$B$254</f>
        <v>Calculation of the attributed emissions:</v>
      </c>
      <c r="E500" s="194"/>
      <c r="F500" s="195"/>
      <c r="G500" s="195"/>
      <c r="H500" s="195"/>
      <c r="I500" s="195"/>
      <c r="J500" s="1317" t="str">
        <f>IF(G466="","",G466)</f>
        <v/>
      </c>
      <c r="K500" s="1317"/>
      <c r="L500" s="1317"/>
      <c r="M500" s="1317"/>
      <c r="N500" s="196"/>
      <c r="O500" s="901"/>
      <c r="P500" s="144"/>
      <c r="T500" s="712"/>
    </row>
    <row r="501" spans="1:24" ht="5.0999999999999996" customHeight="1" x14ac:dyDescent="0.25">
      <c r="C501" s="192"/>
      <c r="D501" s="197"/>
      <c r="E501" s="198"/>
      <c r="F501" s="195"/>
      <c r="G501" s="195"/>
      <c r="H501" s="195"/>
      <c r="I501" s="195"/>
      <c r="J501" s="195"/>
      <c r="K501" s="195"/>
      <c r="L501" s="195"/>
      <c r="M501" s="195"/>
      <c r="N501" s="196"/>
      <c r="O501" s="901"/>
      <c r="P501" s="144"/>
      <c r="T501" s="712"/>
    </row>
    <row r="502" spans="1:24" ht="12.75" customHeight="1" x14ac:dyDescent="0.25">
      <c r="C502" s="192"/>
      <c r="D502" s="199"/>
      <c r="E502" s="1318" t="str">
        <f ca="1">HYPERLINK("#"&amp;ADDRESS(MATCH($S502,G_FurtherGuidance!$S:$S,0),3,,,G_FurtherGuidance!$U$2),CONST_LinkToGuidanceSheet)</f>
        <v>Please click on this link for further guidance on how to complete this section.</v>
      </c>
      <c r="F502" s="1319"/>
      <c r="G502" s="1319"/>
      <c r="H502" s="1319"/>
      <c r="I502" s="1319"/>
      <c r="J502" s="1319"/>
      <c r="K502" s="1319"/>
      <c r="L502" s="1319"/>
      <c r="M502" s="1319"/>
      <c r="N502" s="202"/>
      <c r="O502" s="901"/>
      <c r="P502" s="144"/>
      <c r="R502" s="104" t="s">
        <v>2771</v>
      </c>
      <c r="S502" s="105">
        <v>3</v>
      </c>
      <c r="T502" s="712"/>
    </row>
    <row r="503" spans="1:24" ht="5.0999999999999996" customHeight="1" x14ac:dyDescent="0.25">
      <c r="C503" s="192"/>
      <c r="D503" s="197"/>
      <c r="E503" s="198"/>
      <c r="F503" s="195"/>
      <c r="G503" s="195"/>
      <c r="H503" s="195"/>
      <c r="I503" s="195"/>
      <c r="J503" s="198"/>
      <c r="K503" s="195"/>
      <c r="L503" s="195"/>
      <c r="M503" s="195"/>
      <c r="N503" s="196"/>
      <c r="O503" s="901"/>
      <c r="P503" s="144"/>
      <c r="T503" s="712"/>
      <c r="X503" s="104"/>
    </row>
    <row r="504" spans="1:24" ht="24.95" customHeight="1" x14ac:dyDescent="0.2">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25">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25">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25">
      <c r="C507" s="192"/>
      <c r="D507" s="204"/>
      <c r="E507" s="198"/>
      <c r="F507" s="195"/>
      <c r="G507" s="195"/>
      <c r="H507" s="195"/>
      <c r="I507" s="195"/>
      <c r="J507" s="195"/>
      <c r="K507" s="198"/>
      <c r="L507" s="195"/>
      <c r="M507" s="195"/>
      <c r="N507" s="196"/>
      <c r="O507" s="901"/>
      <c r="P507" s="144"/>
      <c r="T507" s="712"/>
      <c r="X507" s="104"/>
    </row>
    <row r="508" spans="1:24" ht="12.75" customHeight="1" x14ac:dyDescent="0.25">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25">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25">
      <c r="C510" s="192"/>
      <c r="D510" s="204"/>
      <c r="E510" s="198"/>
      <c r="F510" s="195"/>
      <c r="G510" s="195"/>
      <c r="H510" s="195"/>
      <c r="I510" s="195"/>
      <c r="J510" s="195"/>
      <c r="K510" s="195"/>
      <c r="L510" s="199"/>
      <c r="M510" s="199"/>
      <c r="N510" s="196"/>
      <c r="O510" s="901"/>
      <c r="P510" s="144"/>
      <c r="T510" s="712"/>
    </row>
    <row r="511" spans="1:24" ht="12.75" customHeight="1" x14ac:dyDescent="0.25">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25">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25">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25">
      <c r="C514" s="192"/>
      <c r="D514" s="204"/>
      <c r="E514" s="198"/>
      <c r="F514" s="195"/>
      <c r="G514" s="195"/>
      <c r="H514" s="195"/>
      <c r="I514" s="195"/>
      <c r="J514" s="195"/>
      <c r="K514" s="195"/>
      <c r="L514" s="199"/>
      <c r="M514" s="199"/>
      <c r="N514" s="196"/>
      <c r="O514" s="901"/>
      <c r="P514" s="144"/>
      <c r="T514" s="712"/>
    </row>
    <row r="515" spans="1:24" ht="12.75" customHeight="1" x14ac:dyDescent="0.25">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25">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25">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25">
      <c r="C518" s="192"/>
      <c r="D518" s="204"/>
      <c r="E518" s="198"/>
      <c r="F518" s="195"/>
      <c r="G518" s="195"/>
      <c r="H518" s="195"/>
      <c r="I518" s="195"/>
      <c r="J518" s="195"/>
      <c r="K518" s="195"/>
      <c r="L518" s="195"/>
      <c r="M518" s="195"/>
      <c r="N518" s="196"/>
      <c r="O518" s="901"/>
      <c r="P518" s="144"/>
      <c r="T518" s="712"/>
    </row>
    <row r="519" spans="1:24" ht="12.75" customHeight="1" x14ac:dyDescent="0.25">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25">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25">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25">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25">
      <c r="C523" s="192"/>
      <c r="D523" s="204"/>
      <c r="E523" s="198"/>
      <c r="F523" s="195"/>
      <c r="G523" s="195"/>
      <c r="H523" s="195"/>
      <c r="I523" s="195"/>
      <c r="J523" s="195"/>
      <c r="K523" s="195"/>
      <c r="L523" s="195"/>
      <c r="M523" s="195"/>
      <c r="N523" s="196"/>
      <c r="O523" s="901"/>
      <c r="P523" s="144"/>
      <c r="T523" s="712"/>
    </row>
    <row r="524" spans="1:24" ht="12.75" customHeight="1" x14ac:dyDescent="0.25">
      <c r="C524" s="192"/>
      <c r="D524" s="204"/>
      <c r="E524" s="198"/>
      <c r="F524" s="195"/>
      <c r="G524" s="195"/>
      <c r="H524" s="195"/>
      <c r="I524" s="195"/>
      <c r="J524" s="195"/>
      <c r="K524" s="195"/>
      <c r="L524" s="195"/>
      <c r="M524" s="195"/>
      <c r="N524" s="196"/>
      <c r="O524" s="901"/>
      <c r="P524" s="144"/>
      <c r="T524" s="712"/>
      <c r="X524" s="171"/>
    </row>
    <row r="525" spans="1:24" ht="12.75" customHeight="1" x14ac:dyDescent="0.25">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25">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25">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
      <c r="B530" s="145"/>
      <c r="C530" s="145"/>
      <c r="D530" s="145"/>
      <c r="E530" s="145"/>
      <c r="F530" s="145"/>
      <c r="G530" s="145"/>
      <c r="H530" s="145"/>
      <c r="I530" s="145"/>
      <c r="J530" s="145"/>
      <c r="K530" s="145"/>
      <c r="L530" s="145"/>
      <c r="M530" s="145"/>
      <c r="N530" s="145"/>
      <c r="O530" s="903"/>
      <c r="P530" s="144"/>
      <c r="T530" s="712"/>
    </row>
    <row r="531" spans="1:24" ht="18" customHeight="1" thickBot="1" x14ac:dyDescent="0.3">
      <c r="C531" s="147">
        <f>C466+1</f>
        <v>9</v>
      </c>
      <c r="D531" s="148" t="str">
        <f>CONST_ProductionProcess &amp; " " &amp; C531 &amp; ":"</f>
        <v>Production process 9:</v>
      </c>
      <c r="G531" s="1310" t="str">
        <f>IF(INDEX(CNTR_List_ExistProdProcNames,R531)=CONST_NA,"",INDEX(CNTR_List_ExistProdProcNames,R531))</f>
        <v/>
      </c>
      <c r="H531" s="1311"/>
      <c r="I531" s="1311"/>
      <c r="J531" s="1311"/>
      <c r="K531" s="1312"/>
      <c r="L531" s="1313" t="str">
        <f>IF(INDEX(CNTR_List_ExistProdProc,R531)=CONST_NA,"",INDEX(CNTR_List_ExistProdProc,R531))</f>
        <v/>
      </c>
      <c r="M531" s="1314"/>
      <c r="N531" s="1315"/>
      <c r="O531" s="901"/>
      <c r="P531" s="144"/>
      <c r="R531" s="149">
        <f>C531</f>
        <v>9</v>
      </c>
      <c r="T531" s="712"/>
      <c r="W531" s="104" t="s">
        <v>2748</v>
      </c>
      <c r="X531" s="150" t="b">
        <f>AND(CNTR_HasEntriesA,G531="")</f>
        <v>0</v>
      </c>
    </row>
    <row r="532" spans="1:24" ht="5.0999999999999996" customHeight="1" x14ac:dyDescent="0.25">
      <c r="D532" s="103"/>
      <c r="E532" s="100"/>
      <c r="O532" s="901"/>
      <c r="P532" s="144"/>
      <c r="T532" s="712"/>
    </row>
    <row r="533" spans="1:24" ht="12.75" customHeight="1" x14ac:dyDescent="0.25">
      <c r="D533" s="103"/>
      <c r="E533" s="1289" t="str">
        <f ca="1">HYPERLINK("#"&amp;ADDRESS(MATCH($S533,G_FurtherGuidance!$S:$S,0),3,,,G_FurtherGuidance!$U$2),CONST_LinkToGuidanceSheet)</f>
        <v>Please click on this link for further guidance on how to complete this section.</v>
      </c>
      <c r="F533" s="1316"/>
      <c r="G533" s="1316"/>
      <c r="H533" s="1316"/>
      <c r="I533" s="1316"/>
      <c r="J533" s="1316"/>
      <c r="K533" s="1316"/>
      <c r="L533" s="1316"/>
      <c r="M533" s="1316"/>
      <c r="O533" s="901"/>
      <c r="P533" s="144"/>
      <c r="R533" s="104" t="s">
        <v>2771</v>
      </c>
      <c r="S533" s="105">
        <v>3</v>
      </c>
      <c r="T533" s="712"/>
    </row>
    <row r="534" spans="1:24" ht="5.0999999999999996" customHeight="1" x14ac:dyDescent="0.25">
      <c r="D534" s="103"/>
      <c r="E534" s="100"/>
      <c r="O534" s="901"/>
      <c r="P534" s="144"/>
      <c r="T534" s="712"/>
    </row>
    <row r="535" spans="1:24" ht="12.75" customHeight="1" x14ac:dyDescent="0.25">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25">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25">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25">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25">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25">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25">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25">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25">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25">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25">
      <c r="A545" s="91"/>
      <c r="B545" s="93"/>
      <c r="C545" s="93"/>
      <c r="D545" s="166"/>
      <c r="E545" s="167"/>
      <c r="N545" s="93"/>
      <c r="O545" s="901"/>
      <c r="Q545" s="93"/>
      <c r="R545" s="91"/>
      <c r="S545" s="91"/>
      <c r="T545" s="712"/>
      <c r="U545" s="91"/>
      <c r="V545" s="91"/>
      <c r="W545" s="104"/>
      <c r="X545" s="91"/>
    </row>
    <row r="546" spans="1:24" s="144" customFormat="1" ht="12.75" customHeight="1" x14ac:dyDescent="0.25">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25">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t="str">
        <f>IF($G$11="","",L547)</f>
        <v/>
      </c>
      <c r="U547" s="91"/>
      <c r="V547" s="157" t="str">
        <f>IF(AND(G531&lt;&gt;"",L547&lt;&gt;""),TRUE,IF(AND(G531&lt;&gt;"",OR(L547="",L536&lt;&gt;"")),CONST_ErrorOrMissing&amp;C531,CONST_NA))</f>
        <v>n.a.</v>
      </c>
      <c r="W547" s="104"/>
      <c r="X547" s="91"/>
    </row>
    <row r="548" spans="1:24" s="144" customFormat="1" ht="12.75" customHeight="1" x14ac:dyDescent="0.25">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25">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25">
      <c r="A550" s="91"/>
      <c r="B550" s="93"/>
      <c r="C550" s="93"/>
      <c r="D550" s="166"/>
      <c r="E550" s="167"/>
      <c r="N550" s="93"/>
      <c r="O550" s="901"/>
      <c r="Q550" s="93"/>
      <c r="R550" s="91"/>
      <c r="S550" s="91"/>
      <c r="T550" s="712"/>
      <c r="U550" s="91"/>
      <c r="V550" s="91"/>
      <c r="W550" s="104"/>
      <c r="X550" s="91"/>
    </row>
    <row r="551" spans="1:24" s="144" customFormat="1" ht="12.75" customHeight="1" x14ac:dyDescent="0.25">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25">
      <c r="A552" s="91"/>
      <c r="B552" s="93"/>
      <c r="C552" s="93"/>
      <c r="D552" s="173">
        <v>1</v>
      </c>
      <c r="E552" s="174" t="str">
        <f t="shared" ref="E552:E560" si="34">IF(INDEX(CNTR_List_ExistProdProcNames,S552)=CONST_NA,"",INDEX(CNTR_List_ExistProdProcNames,S552))</f>
        <v/>
      </c>
      <c r="F552" s="175"/>
      <c r="G552" s="175"/>
      <c r="H552" s="175"/>
      <c r="I552" s="175"/>
      <c r="J552" s="176"/>
      <c r="K552" s="155" t="str">
        <f>K536</f>
        <v/>
      </c>
      <c r="L552" s="29"/>
      <c r="N552" s="93"/>
      <c r="O552" s="902"/>
      <c r="Q552" s="93"/>
      <c r="R552" s="102" t="str">
        <f>CONST_PrecursorToGoodInput&amp;G531 &amp;"_"&amp;E552</f>
        <v>PrecToGood__</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25">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25">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25">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25">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25">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25">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25">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25">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25">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25">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25">
      <c r="C564" s="187"/>
      <c r="D564" s="188"/>
      <c r="E564" s="189"/>
      <c r="F564" s="190"/>
      <c r="G564" s="190"/>
      <c r="H564" s="190"/>
      <c r="I564" s="190"/>
      <c r="J564" s="190"/>
      <c r="K564" s="190"/>
      <c r="L564" s="190"/>
      <c r="M564" s="190"/>
      <c r="N564" s="191"/>
      <c r="O564" s="901"/>
      <c r="P564" s="144"/>
      <c r="T564" s="712"/>
    </row>
    <row r="565" spans="1:24" ht="15" customHeight="1" x14ac:dyDescent="0.25">
      <c r="C565" s="192"/>
      <c r="D565" s="193" t="str">
        <f>Translations!$B$254</f>
        <v>Calculation of the attributed emissions:</v>
      </c>
      <c r="E565" s="194"/>
      <c r="F565" s="195"/>
      <c r="G565" s="195"/>
      <c r="H565" s="195"/>
      <c r="I565" s="195"/>
      <c r="J565" s="1317" t="str">
        <f>IF(G531="","",G531)</f>
        <v/>
      </c>
      <c r="K565" s="1317"/>
      <c r="L565" s="1317"/>
      <c r="M565" s="1317"/>
      <c r="N565" s="196"/>
      <c r="O565" s="901"/>
      <c r="P565" s="144"/>
      <c r="T565" s="712"/>
    </row>
    <row r="566" spans="1:24" ht="5.0999999999999996" customHeight="1" x14ac:dyDescent="0.25">
      <c r="C566" s="192"/>
      <c r="D566" s="197"/>
      <c r="E566" s="198"/>
      <c r="F566" s="195"/>
      <c r="G566" s="195"/>
      <c r="H566" s="195"/>
      <c r="I566" s="195"/>
      <c r="J566" s="195"/>
      <c r="K566" s="195"/>
      <c r="L566" s="195"/>
      <c r="M566" s="195"/>
      <c r="N566" s="196"/>
      <c r="O566" s="901"/>
      <c r="P566" s="144"/>
      <c r="T566" s="712"/>
    </row>
    <row r="567" spans="1:24" ht="12.75" customHeight="1" x14ac:dyDescent="0.25">
      <c r="C567" s="192"/>
      <c r="D567" s="199"/>
      <c r="E567" s="1318" t="str">
        <f ca="1">HYPERLINK("#"&amp;ADDRESS(MATCH($S567,G_FurtherGuidance!$S:$S,0),3,,,G_FurtherGuidance!$U$2),CONST_LinkToGuidanceSheet)</f>
        <v>Please click on this link for further guidance on how to complete this section.</v>
      </c>
      <c r="F567" s="1319"/>
      <c r="G567" s="1319"/>
      <c r="H567" s="1319"/>
      <c r="I567" s="1319"/>
      <c r="J567" s="1319"/>
      <c r="K567" s="1319"/>
      <c r="L567" s="1319"/>
      <c r="M567" s="1319"/>
      <c r="N567" s="202"/>
      <c r="O567" s="901"/>
      <c r="P567" s="144"/>
      <c r="R567" s="104" t="s">
        <v>2771</v>
      </c>
      <c r="S567" s="105">
        <v>3</v>
      </c>
      <c r="T567" s="712"/>
    </row>
    <row r="568" spans="1:24" ht="5.0999999999999996" customHeight="1" x14ac:dyDescent="0.25">
      <c r="C568" s="192"/>
      <c r="D568" s="197"/>
      <c r="E568" s="198"/>
      <c r="F568" s="195"/>
      <c r="G568" s="195"/>
      <c r="H568" s="195"/>
      <c r="I568" s="195"/>
      <c r="J568" s="198"/>
      <c r="K568" s="195"/>
      <c r="L568" s="195"/>
      <c r="M568" s="195"/>
      <c r="N568" s="196"/>
      <c r="O568" s="901"/>
      <c r="P568" s="144"/>
      <c r="T568" s="712"/>
      <c r="X568" s="104"/>
    </row>
    <row r="569" spans="1:24" ht="24.95" customHeight="1" x14ac:dyDescent="0.2">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25">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25">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25">
      <c r="C572" s="192"/>
      <c r="D572" s="204"/>
      <c r="E572" s="198"/>
      <c r="F572" s="195"/>
      <c r="G572" s="195"/>
      <c r="H572" s="195"/>
      <c r="I572" s="195"/>
      <c r="J572" s="195"/>
      <c r="K572" s="198"/>
      <c r="L572" s="195"/>
      <c r="M572" s="195"/>
      <c r="N572" s="196"/>
      <c r="O572" s="901"/>
      <c r="P572" s="144"/>
      <c r="T572" s="712"/>
      <c r="X572" s="104"/>
    </row>
    <row r="573" spans="1:24" ht="12.75" customHeight="1" x14ac:dyDescent="0.25">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25">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25">
      <c r="C575" s="192"/>
      <c r="D575" s="204"/>
      <c r="E575" s="198"/>
      <c r="F575" s="195"/>
      <c r="G575" s="195"/>
      <c r="H575" s="195"/>
      <c r="I575" s="195"/>
      <c r="J575" s="195"/>
      <c r="K575" s="195"/>
      <c r="L575" s="199"/>
      <c r="M575" s="199"/>
      <c r="N575" s="196"/>
      <c r="O575" s="901"/>
      <c r="P575" s="144"/>
      <c r="T575" s="712"/>
    </row>
    <row r="576" spans="1:24" ht="12.75" customHeight="1" x14ac:dyDescent="0.25">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25">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25">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25">
      <c r="C579" s="192"/>
      <c r="D579" s="204"/>
      <c r="E579" s="198"/>
      <c r="F579" s="195"/>
      <c r="G579" s="195"/>
      <c r="H579" s="195"/>
      <c r="I579" s="195"/>
      <c r="J579" s="195"/>
      <c r="K579" s="195"/>
      <c r="L579" s="199"/>
      <c r="M579" s="199"/>
      <c r="N579" s="196"/>
      <c r="O579" s="901"/>
      <c r="P579" s="144"/>
      <c r="T579" s="712"/>
    </row>
    <row r="580" spans="3:24" ht="12.75" customHeight="1" x14ac:dyDescent="0.25">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25">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25">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25">
      <c r="C583" s="192"/>
      <c r="D583" s="204"/>
      <c r="E583" s="198"/>
      <c r="F583" s="195"/>
      <c r="G583" s="195"/>
      <c r="H583" s="195"/>
      <c r="I583" s="195"/>
      <c r="J583" s="195"/>
      <c r="K583" s="195"/>
      <c r="L583" s="195"/>
      <c r="M583" s="195"/>
      <c r="N583" s="196"/>
      <c r="O583" s="901"/>
      <c r="P583" s="144"/>
      <c r="T583" s="712"/>
    </row>
    <row r="584" spans="3:24" ht="12.75" customHeight="1" x14ac:dyDescent="0.25">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25">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25">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25">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25">
      <c r="C588" s="192"/>
      <c r="D588" s="204"/>
      <c r="E588" s="198"/>
      <c r="F588" s="195"/>
      <c r="G588" s="195"/>
      <c r="H588" s="195"/>
      <c r="I588" s="195"/>
      <c r="J588" s="195"/>
      <c r="K588" s="195"/>
      <c r="L588" s="195"/>
      <c r="M588" s="195"/>
      <c r="N588" s="196"/>
      <c r="O588" s="901"/>
      <c r="P588" s="144"/>
      <c r="T588" s="712"/>
    </row>
    <row r="589" spans="3:24" ht="12.75" customHeight="1" x14ac:dyDescent="0.25">
      <c r="C589" s="192"/>
      <c r="D589" s="204"/>
      <c r="E589" s="198"/>
      <c r="F589" s="195"/>
      <c r="G589" s="195"/>
      <c r="H589" s="195"/>
      <c r="I589" s="195"/>
      <c r="J589" s="195"/>
      <c r="K589" s="195"/>
      <c r="L589" s="195"/>
      <c r="M589" s="195"/>
      <c r="N589" s="196"/>
      <c r="O589" s="901"/>
      <c r="P589" s="144"/>
      <c r="T589" s="712"/>
      <c r="X589" s="171"/>
    </row>
    <row r="590" spans="3:24" ht="12.75" customHeight="1" x14ac:dyDescent="0.25">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25">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25">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
      <c r="B595" s="145"/>
      <c r="C595" s="145"/>
      <c r="D595" s="145"/>
      <c r="E595" s="145"/>
      <c r="F595" s="145"/>
      <c r="G595" s="145"/>
      <c r="H595" s="145"/>
      <c r="I595" s="145"/>
      <c r="J595" s="145"/>
      <c r="K595" s="145"/>
      <c r="L595" s="145"/>
      <c r="M595" s="145"/>
      <c r="N595" s="145"/>
      <c r="O595" s="903"/>
      <c r="P595" s="144"/>
      <c r="T595" s="712"/>
    </row>
    <row r="596" spans="1:24" ht="18" customHeight="1" thickBot="1" x14ac:dyDescent="0.3">
      <c r="C596" s="147">
        <f>C531+1</f>
        <v>10</v>
      </c>
      <c r="D596" s="148" t="str">
        <f>CONST_ProductionProcess &amp; " " &amp; C596 &amp; ":"</f>
        <v>Production process 10:</v>
      </c>
      <c r="G596" s="1310" t="str">
        <f>IF(INDEX(CNTR_List_ExistProdProcNames,R596)=CONST_NA,"",INDEX(CNTR_List_ExistProdProcNames,R596))</f>
        <v/>
      </c>
      <c r="H596" s="1311"/>
      <c r="I596" s="1311"/>
      <c r="J596" s="1311"/>
      <c r="K596" s="1312"/>
      <c r="L596" s="1313" t="str">
        <f>IF(INDEX(CNTR_List_ExistProdProc,R596)=CONST_NA,"",INDEX(CNTR_List_ExistProdProc,R596))</f>
        <v/>
      </c>
      <c r="M596" s="1314"/>
      <c r="N596" s="1315"/>
      <c r="O596" s="901"/>
      <c r="P596" s="144"/>
      <c r="R596" s="149">
        <f>C596</f>
        <v>10</v>
      </c>
      <c r="T596" s="712"/>
      <c r="W596" s="104" t="s">
        <v>2748</v>
      </c>
      <c r="X596" s="150" t="b">
        <f>AND(CNTR_HasEntriesA,G596="")</f>
        <v>0</v>
      </c>
    </row>
    <row r="597" spans="1:24" ht="5.0999999999999996" customHeight="1" x14ac:dyDescent="0.25">
      <c r="D597" s="103"/>
      <c r="E597" s="100"/>
      <c r="O597" s="901"/>
      <c r="P597" s="144"/>
      <c r="T597" s="712"/>
    </row>
    <row r="598" spans="1:24" ht="12.75" customHeight="1" x14ac:dyDescent="0.25">
      <c r="D598" s="103"/>
      <c r="E598" s="1289" t="str">
        <f ca="1">HYPERLINK("#"&amp;ADDRESS(MATCH($S598,G_FurtherGuidance!$S:$S,0),3,,,G_FurtherGuidance!$U$2),CONST_LinkToGuidanceSheet)</f>
        <v>Please click on this link for further guidance on how to complete this section.</v>
      </c>
      <c r="F598" s="1316"/>
      <c r="G598" s="1316"/>
      <c r="H598" s="1316"/>
      <c r="I598" s="1316"/>
      <c r="J598" s="1316"/>
      <c r="K598" s="1316"/>
      <c r="L598" s="1316"/>
      <c r="M598" s="1316"/>
      <c r="O598" s="901"/>
      <c r="P598" s="144"/>
      <c r="R598" s="104" t="s">
        <v>2771</v>
      </c>
      <c r="S598" s="105">
        <v>3</v>
      </c>
      <c r="T598" s="712"/>
    </row>
    <row r="599" spans="1:24" ht="5.0999999999999996" customHeight="1" x14ac:dyDescent="0.25">
      <c r="D599" s="103"/>
      <c r="E599" s="100"/>
      <c r="O599" s="901"/>
      <c r="P599" s="144"/>
      <c r="T599" s="712"/>
    </row>
    <row r="600" spans="1:24" ht="12.75" customHeight="1" x14ac:dyDescent="0.25">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25">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25">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25">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25">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25">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25">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25">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25">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25">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25">
      <c r="A610" s="91"/>
      <c r="B610" s="93"/>
      <c r="C610" s="93"/>
      <c r="D610" s="166"/>
      <c r="E610" s="167"/>
      <c r="N610" s="93"/>
      <c r="O610" s="901"/>
      <c r="Q610" s="93"/>
      <c r="R610" s="91"/>
      <c r="S610" s="91"/>
      <c r="T610" s="712"/>
      <c r="U610" s="91"/>
      <c r="V610" s="91"/>
      <c r="W610" s="104"/>
      <c r="X610" s="91"/>
    </row>
    <row r="611" spans="1:24" s="144" customFormat="1" ht="12.75" customHeight="1" x14ac:dyDescent="0.25">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25">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t="str">
        <f>IF($G$11="","",L612)</f>
        <v/>
      </c>
      <c r="U612" s="91"/>
      <c r="V612" s="157" t="str">
        <f>IF(AND(G596&lt;&gt;"",L612&lt;&gt;""),TRUE,IF(AND(G596&lt;&gt;"",OR(L612="",L601&lt;&gt;"")),CONST_ErrorOrMissing&amp;C596,CONST_NA))</f>
        <v>n.a.</v>
      </c>
      <c r="W612" s="104"/>
      <c r="X612" s="91"/>
    </row>
    <row r="613" spans="1:24" s="144" customFormat="1" ht="12.75" customHeight="1" x14ac:dyDescent="0.25">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25">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25">
      <c r="A615" s="91"/>
      <c r="B615" s="93"/>
      <c r="C615" s="93"/>
      <c r="D615" s="166"/>
      <c r="E615" s="167"/>
      <c r="N615" s="93"/>
      <c r="O615" s="901"/>
      <c r="Q615" s="93"/>
      <c r="R615" s="91"/>
      <c r="S615" s="91"/>
      <c r="T615" s="712"/>
      <c r="U615" s="91"/>
      <c r="V615" s="91"/>
      <c r="W615" s="104"/>
      <c r="X615" s="91"/>
    </row>
    <row r="616" spans="1:24" s="144" customFormat="1" ht="12.75" customHeight="1" x14ac:dyDescent="0.25">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25">
      <c r="A617" s="91"/>
      <c r="B617" s="93"/>
      <c r="C617" s="93"/>
      <c r="D617" s="173">
        <v>1</v>
      </c>
      <c r="E617" s="174" t="str">
        <f t="shared" ref="E617:E625" si="38">IF(INDEX(CNTR_List_ExistProdProcNames,S617)=CONST_NA,"",INDEX(CNTR_List_ExistProdProcNames,S617))</f>
        <v/>
      </c>
      <c r="F617" s="175"/>
      <c r="G617" s="175"/>
      <c r="H617" s="175"/>
      <c r="I617" s="175"/>
      <c r="J617" s="176"/>
      <c r="K617" s="155" t="str">
        <f>K601</f>
        <v/>
      </c>
      <c r="L617" s="29"/>
      <c r="N617" s="93"/>
      <c r="O617" s="902"/>
      <c r="Q617" s="93"/>
      <c r="R617" s="102" t="str">
        <f>CONST_PrecursorToGoodInput&amp;G596 &amp;"_"&amp;E617</f>
        <v>PrecToGood__</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25">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25">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25">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25">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25">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25">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25">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25">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25">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25">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25">
      <c r="C629" s="187"/>
      <c r="D629" s="188"/>
      <c r="E629" s="189"/>
      <c r="F629" s="190"/>
      <c r="G629" s="190"/>
      <c r="H629" s="190"/>
      <c r="I629" s="190"/>
      <c r="J629" s="190"/>
      <c r="K629" s="190"/>
      <c r="L629" s="190"/>
      <c r="M629" s="190"/>
      <c r="N629" s="191"/>
      <c r="O629" s="901"/>
      <c r="P629" s="144"/>
      <c r="T629" s="712"/>
    </row>
    <row r="630" spans="1:24" ht="15" customHeight="1" x14ac:dyDescent="0.25">
      <c r="C630" s="192"/>
      <c r="D630" s="193" t="str">
        <f>Translations!$B$254</f>
        <v>Calculation of the attributed emissions:</v>
      </c>
      <c r="E630" s="194"/>
      <c r="F630" s="195"/>
      <c r="G630" s="195"/>
      <c r="H630" s="195"/>
      <c r="I630" s="195"/>
      <c r="J630" s="1317" t="str">
        <f>IF(G596="","",G596)</f>
        <v/>
      </c>
      <c r="K630" s="1317"/>
      <c r="L630" s="1317"/>
      <c r="M630" s="1317"/>
      <c r="N630" s="196"/>
      <c r="O630" s="901"/>
      <c r="P630" s="144"/>
      <c r="T630" s="712"/>
    </row>
    <row r="631" spans="1:24" ht="5.0999999999999996" customHeight="1" x14ac:dyDescent="0.25">
      <c r="C631" s="192"/>
      <c r="D631" s="197"/>
      <c r="E631" s="198"/>
      <c r="F631" s="195"/>
      <c r="G631" s="195"/>
      <c r="H631" s="195"/>
      <c r="I631" s="195"/>
      <c r="J631" s="195"/>
      <c r="K631" s="195"/>
      <c r="L631" s="195"/>
      <c r="M631" s="195"/>
      <c r="N631" s="196"/>
      <c r="O631" s="901"/>
      <c r="P631" s="144"/>
      <c r="T631" s="712"/>
    </row>
    <row r="632" spans="1:24" ht="12.75" customHeight="1" x14ac:dyDescent="0.25">
      <c r="C632" s="192"/>
      <c r="D632" s="199"/>
      <c r="E632" s="1318" t="str">
        <f ca="1">HYPERLINK("#"&amp;ADDRESS(MATCH($S632,G_FurtherGuidance!$S:$S,0),3,,,G_FurtherGuidance!$U$2),CONST_LinkToGuidanceSheet)</f>
        <v>Please click on this link for further guidance on how to complete this section.</v>
      </c>
      <c r="F632" s="1319"/>
      <c r="G632" s="1319"/>
      <c r="H632" s="1319"/>
      <c r="I632" s="1319"/>
      <c r="J632" s="1319"/>
      <c r="K632" s="1319"/>
      <c r="L632" s="1319"/>
      <c r="M632" s="1319"/>
      <c r="N632" s="202"/>
      <c r="O632" s="901"/>
      <c r="P632" s="144"/>
      <c r="R632" s="104" t="s">
        <v>2771</v>
      </c>
      <c r="S632" s="105">
        <v>3</v>
      </c>
      <c r="T632" s="712"/>
    </row>
    <row r="633" spans="1:24" ht="5.0999999999999996" customHeight="1" x14ac:dyDescent="0.25">
      <c r="C633" s="192"/>
      <c r="D633" s="197"/>
      <c r="E633" s="198"/>
      <c r="F633" s="195"/>
      <c r="G633" s="195"/>
      <c r="H633" s="195"/>
      <c r="I633" s="195"/>
      <c r="J633" s="198"/>
      <c r="K633" s="195"/>
      <c r="L633" s="195"/>
      <c r="M633" s="195"/>
      <c r="N633" s="196"/>
      <c r="O633" s="901"/>
      <c r="P633" s="144"/>
      <c r="T633" s="712"/>
      <c r="X633" s="104"/>
    </row>
    <row r="634" spans="1:24" ht="24.95" customHeight="1" x14ac:dyDescent="0.2">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25">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25">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25">
      <c r="C637" s="192"/>
      <c r="D637" s="204"/>
      <c r="E637" s="198"/>
      <c r="F637" s="195"/>
      <c r="G637" s="195"/>
      <c r="H637" s="195"/>
      <c r="I637" s="195"/>
      <c r="J637" s="195"/>
      <c r="K637" s="198"/>
      <c r="L637" s="195"/>
      <c r="M637" s="195"/>
      <c r="N637" s="196"/>
      <c r="O637" s="901"/>
      <c r="P637" s="144"/>
      <c r="T637" s="712"/>
      <c r="X637" s="104"/>
    </row>
    <row r="638" spans="1:24" ht="12.75" customHeight="1" x14ac:dyDescent="0.25">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25">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25">
      <c r="C640" s="192"/>
      <c r="D640" s="204"/>
      <c r="E640" s="198"/>
      <c r="F640" s="195"/>
      <c r="G640" s="195"/>
      <c r="H640" s="195"/>
      <c r="I640" s="195"/>
      <c r="J640" s="195"/>
      <c r="K640" s="195"/>
      <c r="L640" s="199"/>
      <c r="M640" s="199"/>
      <c r="N640" s="196"/>
      <c r="O640" s="901"/>
      <c r="P640" s="144"/>
      <c r="T640" s="712"/>
    </row>
    <row r="641" spans="3:24" ht="12.75" customHeight="1" x14ac:dyDescent="0.25">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25">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25">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25">
      <c r="C644" s="192"/>
      <c r="D644" s="204"/>
      <c r="E644" s="198"/>
      <c r="F644" s="195"/>
      <c r="G644" s="195"/>
      <c r="H644" s="195"/>
      <c r="I644" s="195"/>
      <c r="J644" s="195"/>
      <c r="K644" s="195"/>
      <c r="L644" s="199"/>
      <c r="M644" s="199"/>
      <c r="N644" s="196"/>
      <c r="O644" s="901"/>
      <c r="P644" s="144"/>
      <c r="T644" s="712"/>
    </row>
    <row r="645" spans="3:24" ht="12.75" customHeight="1" x14ac:dyDescent="0.25">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25">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25">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25">
      <c r="C648" s="192"/>
      <c r="D648" s="204"/>
      <c r="E648" s="198"/>
      <c r="F648" s="195"/>
      <c r="G648" s="195"/>
      <c r="H648" s="195"/>
      <c r="I648" s="195"/>
      <c r="J648" s="195"/>
      <c r="K648" s="195"/>
      <c r="L648" s="195"/>
      <c r="M648" s="195"/>
      <c r="N648" s="196"/>
      <c r="O648" s="901"/>
      <c r="P648" s="144"/>
      <c r="T648" s="712"/>
    </row>
    <row r="649" spans="3:24" ht="12.75" customHeight="1" x14ac:dyDescent="0.25">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25">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25">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25">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25">
      <c r="C653" s="192"/>
      <c r="D653" s="204"/>
      <c r="E653" s="198"/>
      <c r="F653" s="195"/>
      <c r="G653" s="195"/>
      <c r="H653" s="195"/>
      <c r="I653" s="195"/>
      <c r="J653" s="195"/>
      <c r="K653" s="195"/>
      <c r="L653" s="195"/>
      <c r="M653" s="195"/>
      <c r="N653" s="196"/>
      <c r="O653" s="901"/>
      <c r="P653" s="144"/>
      <c r="T653" s="712"/>
    </row>
    <row r="654" spans="3:24" ht="12.75" customHeight="1" x14ac:dyDescent="0.25">
      <c r="C654" s="192"/>
      <c r="D654" s="204"/>
      <c r="E654" s="198"/>
      <c r="F654" s="195"/>
      <c r="G654" s="195"/>
      <c r="H654" s="195"/>
      <c r="I654" s="195"/>
      <c r="J654" s="195"/>
      <c r="K654" s="195"/>
      <c r="L654" s="195"/>
      <c r="M654" s="195"/>
      <c r="N654" s="196"/>
      <c r="O654" s="901"/>
      <c r="P654" s="144"/>
      <c r="T654" s="712"/>
      <c r="X654" s="171"/>
    </row>
    <row r="655" spans="3:24" ht="12.75" customHeight="1" x14ac:dyDescent="0.25">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25">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25">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25">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25">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25">
      <c r="A662" s="91" t="s">
        <v>3</v>
      </c>
      <c r="P662" s="92" t="s">
        <v>116</v>
      </c>
      <c r="W662" s="104"/>
    </row>
    <row r="663" spans="1:24" s="91" customFormat="1" ht="12.75" hidden="1" customHeight="1" x14ac:dyDescent="0.25">
      <c r="A663" s="91" t="s">
        <v>3</v>
      </c>
      <c r="P663" s="92"/>
      <c r="W663" s="104"/>
    </row>
    <row r="664" spans="1:24" s="91" customFormat="1" ht="12.75" hidden="1" customHeight="1" x14ac:dyDescent="0.25">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disablePrompts="1"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2" sqref="B2:D6"/>
    </sheetView>
  </sheetViews>
  <sheetFormatPr baseColWidth="10" defaultColWidth="11.42578125" defaultRowHeight="12.75" x14ac:dyDescent="0.25"/>
  <cols>
    <col min="1" max="1" width="4.7109375" style="91" hidden="1" customWidth="1"/>
    <col min="2" max="4" width="3.7109375" style="93" customWidth="1"/>
    <col min="5" max="5" width="20.7109375" style="93" customWidth="1"/>
    <col min="6" max="14" width="12.7109375" style="93" customWidth="1"/>
    <col min="15" max="15" width="1.7109375" style="93" customWidth="1"/>
    <col min="16" max="16" width="20.7109375" style="94" hidden="1" customWidth="1"/>
    <col min="17" max="17" width="2.7109375" style="93" hidden="1" customWidth="1"/>
    <col min="18" max="26" width="11.42578125" style="91" hidden="1" customWidth="1"/>
    <col min="27" max="16384" width="11.42578125" style="93"/>
  </cols>
  <sheetData>
    <row r="1" spans="1:26" s="91" customFormat="1" ht="14.1" hidden="1" customHeight="1" thickBot="1" x14ac:dyDescent="0.3">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
      <c r="B2" s="1166" t="str">
        <f>Translations!$B$124</f>
        <v>Purchased precursors</v>
      </c>
      <c r="C2" s="1167"/>
      <c r="D2" s="1168"/>
      <c r="E2" s="1175" t="str">
        <f>Translations!$B$11</f>
        <v>Navigation Area:</v>
      </c>
      <c r="F2" s="1176"/>
      <c r="G2" s="1198" t="str">
        <f ca="1">HYPERLINK("#"&amp;ADDRESS(2,3,,,a_Contents!$U$2),a_Contents!$B$2)</f>
        <v>Table of contents</v>
      </c>
      <c r="H2" s="1199"/>
      <c r="I2" s="1163" t="str">
        <f ca="1">HYPERLINK("#"&amp;ADDRESS(MATCH($S10,G_FurtherGuidance!$S:$S,0),3,,,G_FurtherGuidance!$U$2),G_FurtherGuidance!$B$2)</f>
        <v>Further Guidance</v>
      </c>
      <c r="J2" s="1164"/>
      <c r="K2" s="1163" t="str">
        <f ca="1">HYPERLINK("#"&amp;ADDRESS(2,3,,,Summary_Processes!$Y$2),Summary_Processes!$Y$2)</f>
        <v>Summary_Processes</v>
      </c>
      <c r="L2" s="1164"/>
      <c r="M2" s="1163" t="str">
        <f ca="1">HYPERLINK("#"&amp;ADDRESS(2,3,,,Summary_Products!$BF$2),Summary_Products!$BF$2)</f>
        <v>Summary_Products</v>
      </c>
      <c r="N2" s="1164"/>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25">
      <c r="B3" s="1169"/>
      <c r="C3" s="1170"/>
      <c r="D3" s="1171"/>
      <c r="E3" s="1335" t="str">
        <f>IF(INDEX(CNTR_List_ExistPurchPrecNames,R3)=CONST_NA,"",HYPERLINK("#"&amp;ADDRESS(ROW($C$14)+MATCH(R3,$C$14:$C$1032,0)-1,COLUMN($C$14)),INDEX(CNTR_List_ExistPurchPrecNames,R3)))</f>
        <v/>
      </c>
      <c r="F3" s="1336"/>
      <c r="G3" s="1337" t="str">
        <f>IF(INDEX(CNTR_List_ExistPurchPrecNames,T3)=CONST_NA,"",HYPERLINK("#"&amp;ADDRESS(ROW($C$14)+MATCH(T3,$C$14:$C$1032,0)-1,COLUMN($C$14)),INDEX(CNTR_List_ExistPurchPrecNames,T3)))</f>
        <v/>
      </c>
      <c r="H3" s="1336"/>
      <c r="I3" s="1338" t="str">
        <f>IF(INDEX(CNTR_List_ExistPurchPrecNames,V3)=CONST_NA,"",HYPERLINK("#"&amp;ADDRESS(ROW($C$14)+MATCH(V3,$C$14:$C$1032,0)-1,COLUMN($C$14)),INDEX(CNTR_List_ExistPurchPrecNames,V3)))</f>
        <v/>
      </c>
      <c r="J3" s="1336"/>
      <c r="K3" s="1338" t="str">
        <f>IF(INDEX(CNTR_List_ExistPurchPrecNames,X3)=CONST_NA,"",HYPERLINK("#"&amp;ADDRESS(ROW($C$14)+MATCH(X3,$C$14:$C$1032,0)-1,COLUMN($C$14)),INDEX(CNTR_List_ExistPurchPrecNames,X3)))</f>
        <v/>
      </c>
      <c r="L3" s="1336"/>
      <c r="M3" s="1338" t="str">
        <f>IF(INDEX(CNTR_List_ExistPurchPrecNames,Z3)=CONST_NA,"",HYPERLINK("#"&amp;ADDRESS(ROW($C$14)+MATCH(Z3,$C$14:$C$1032,0)-1,COLUMN($C$14)),INDEX(CNTR_List_ExistPurchPrecNames,Z3)))</f>
        <v/>
      </c>
      <c r="N3" s="1339"/>
      <c r="O3" s="428"/>
      <c r="R3" s="302">
        <v>1</v>
      </c>
      <c r="S3" s="303"/>
      <c r="T3" s="303">
        <f>R3+1</f>
        <v>2</v>
      </c>
      <c r="U3" s="303"/>
      <c r="V3" s="303">
        <f>T3+1</f>
        <v>3</v>
      </c>
      <c r="W3" s="303"/>
      <c r="X3" s="303">
        <f>V3+1</f>
        <v>4</v>
      </c>
      <c r="Y3" s="303"/>
      <c r="Z3" s="304">
        <f>X3+1</f>
        <v>5</v>
      </c>
    </row>
    <row r="4" spans="1:26" ht="14.1" customHeight="1" x14ac:dyDescent="0.25">
      <c r="B4" s="1169"/>
      <c r="C4" s="1170"/>
      <c r="D4" s="1171"/>
      <c r="E4" s="1331" t="str">
        <f>IF(INDEX(CNTR_List_ExistPurchPrecNames,R4)=CONST_NA,"",HYPERLINK("#"&amp;ADDRESS(ROW($C$14)+MATCH(R4,$C$14:$C$1032,0)-1,COLUMN($C$14)),INDEX(CNTR_List_ExistPurchPrecNames,R4)))</f>
        <v/>
      </c>
      <c r="F4" s="1332"/>
      <c r="G4" s="1333" t="str">
        <f>IF(INDEX(CNTR_List_ExistPurchPrecNames,T4)=CONST_NA,"",HYPERLINK("#"&amp;ADDRESS(ROW($C$14)+MATCH(T4,$C$14:$C$1032,0)-1,COLUMN($C$14)),INDEX(CNTR_List_ExistPurchPrecNames,T4)))</f>
        <v/>
      </c>
      <c r="H4" s="1332"/>
      <c r="I4" s="1333" t="str">
        <f>IF(INDEX(CNTR_List_ExistPurchPrecNames,V4)=CONST_NA,"",HYPERLINK("#"&amp;ADDRESS(ROW($C$14)+MATCH(V4,$C$14:$C$1032,0)-1,COLUMN($C$14)),INDEX(CNTR_List_ExistPurchPrecNames,V4)))</f>
        <v/>
      </c>
      <c r="J4" s="1332"/>
      <c r="K4" s="1333" t="str">
        <f>IF(INDEX(CNTR_List_ExistPurchPrecNames,X4)=CONST_NA,"",HYPERLINK("#"&amp;ADDRESS(ROW($C$14)+MATCH(X4,$C$14:$C$1032,0)-1,COLUMN($C$14)),INDEX(CNTR_List_ExistPurchPrecNames,X4)))</f>
        <v/>
      </c>
      <c r="L4" s="1332"/>
      <c r="M4" s="1333" t="str">
        <f>IF(INDEX(CNTR_List_ExistPurchPrecNames,Z4)=CONST_NA,"",HYPERLINK("#"&amp;ADDRESS(ROW($C$14)+MATCH(Z4,$C$14:$C$1032,0)-1,COLUMN($C$14)),INDEX(CNTR_List_ExistPurchPrecNames,Z4)))</f>
        <v/>
      </c>
      <c r="N4" s="1334"/>
      <c r="O4" s="428"/>
      <c r="R4" s="305">
        <f>Z3+1</f>
        <v>6</v>
      </c>
      <c r="S4" s="156"/>
      <c r="T4" s="156">
        <f>R4+1</f>
        <v>7</v>
      </c>
      <c r="U4" s="156"/>
      <c r="V4" s="156">
        <f>T4+1</f>
        <v>8</v>
      </c>
      <c r="W4" s="156"/>
      <c r="X4" s="156">
        <f>V4+1</f>
        <v>9</v>
      </c>
      <c r="Y4" s="156"/>
      <c r="Z4" s="306">
        <f>X4+1</f>
        <v>10</v>
      </c>
    </row>
    <row r="5" spans="1:26" ht="14.1" customHeight="1" x14ac:dyDescent="0.25">
      <c r="B5" s="1169"/>
      <c r="C5" s="1170"/>
      <c r="D5" s="1171"/>
      <c r="E5" s="1331" t="str">
        <f>IF(INDEX(CNTR_List_ExistPurchPrecNames,R5)=CONST_NA,"",HYPERLINK("#"&amp;ADDRESS(ROW($C$14)+MATCH(R5,$C$14:$C$1032,0)-1,COLUMN($C$14)),INDEX(CNTR_List_ExistPurchPrecNames,R5)))</f>
        <v/>
      </c>
      <c r="F5" s="1332"/>
      <c r="G5" s="1333" t="str">
        <f>IF(INDEX(CNTR_List_ExistPurchPrecNames,T5)=CONST_NA,"",HYPERLINK("#"&amp;ADDRESS(ROW($C$14)+MATCH(T5,$C$14:$C$1032,0)-1,COLUMN($C$14)),INDEX(CNTR_List_ExistPurchPrecNames,T5)))</f>
        <v/>
      </c>
      <c r="H5" s="1332"/>
      <c r="I5" s="1333" t="str">
        <f>IF(INDEX(CNTR_List_ExistPurchPrecNames,V5)=CONST_NA,"",HYPERLINK("#"&amp;ADDRESS(ROW($C$14)+MATCH(V5,$C$14:$C$1032,0)-1,COLUMN($C$14)),INDEX(CNTR_List_ExistPurchPrecNames,V5)))</f>
        <v/>
      </c>
      <c r="J5" s="1332"/>
      <c r="K5" s="1333" t="str">
        <f>IF(INDEX(CNTR_List_ExistPurchPrecNames,X5)=CONST_NA,"",HYPERLINK("#"&amp;ADDRESS(ROW($C$14)+MATCH(X5,$C$14:$C$1032,0)-1,COLUMN($C$14)),INDEX(CNTR_List_ExistPurchPrecNames,X5)))</f>
        <v/>
      </c>
      <c r="L5" s="1332"/>
      <c r="M5" s="1333" t="str">
        <f>IF(INDEX(CNTR_List_ExistPurchPrecNames,Z5)=CONST_NA,"",HYPERLINK("#"&amp;ADDRESS(ROW($C$14)+MATCH(Z5,$C$14:$C$1032,0)-1,COLUMN($C$14)),INDEX(CNTR_List_ExistPurchPrecNames,Z5)))</f>
        <v/>
      </c>
      <c r="N5" s="1334"/>
      <c r="O5" s="428"/>
      <c r="R5" s="305">
        <f>Z4+1</f>
        <v>11</v>
      </c>
      <c r="S5" s="156"/>
      <c r="T5" s="156">
        <f>R5+1</f>
        <v>12</v>
      </c>
      <c r="U5" s="156"/>
      <c r="V5" s="156">
        <f>T5+1</f>
        <v>13</v>
      </c>
      <c r="W5" s="156"/>
      <c r="X5" s="156">
        <f>V5+1</f>
        <v>14</v>
      </c>
      <c r="Y5" s="156"/>
      <c r="Z5" s="306">
        <f>X5+1</f>
        <v>15</v>
      </c>
    </row>
    <row r="6" spans="1:26" ht="14.1" customHeight="1" thickBot="1" x14ac:dyDescent="0.3">
      <c r="B6" s="1172"/>
      <c r="C6" s="1173"/>
      <c r="D6" s="1174"/>
      <c r="E6" s="1328" t="str">
        <f>IF(INDEX(CNTR_List_ExistPurchPrecNames,R6)=CONST_NA,"",HYPERLINK("#"&amp;ADDRESS(ROW($C$14)+MATCH(R6,$C$14:$C$1032,0)-1,COLUMN($C$14)),INDEX(CNTR_List_ExistPurchPrecNames,R6)))</f>
        <v/>
      </c>
      <c r="F6" s="1329"/>
      <c r="G6" s="1330" t="str">
        <f>IF(INDEX(CNTR_List_ExistPurchPrecNames,T6)=CONST_NA,"",HYPERLINK("#"&amp;ADDRESS(ROW($C$14)+MATCH(T6,$C$14:$C$1032,0)-1,COLUMN($C$14)),INDEX(CNTR_List_ExistPurchPrecNames,T6)))</f>
        <v/>
      </c>
      <c r="H6" s="1329"/>
      <c r="I6" s="1330" t="str">
        <f>IF(INDEX(CNTR_List_ExistPurchPrecNames,V6)=CONST_NA,"",HYPERLINK("#"&amp;ADDRESS(ROW($C$14)+MATCH(V6,$C$14:$C$1032,0)-1,COLUMN($C$14)),INDEX(CNTR_List_ExistPurchPrecNames,V6)))</f>
        <v/>
      </c>
      <c r="J6" s="1329"/>
      <c r="K6" s="1330" t="str">
        <f>IF(INDEX(CNTR_List_ExistPurchPrecNames,X6)=CONST_NA,"",HYPERLINK("#"&amp;ADDRESS(ROW($C$14)+MATCH(X6,$C$14:$C$1032,0)-1,COLUMN($C$14)),INDEX(CNTR_List_ExistPurchPrecNames,X6)))</f>
        <v/>
      </c>
      <c r="L6" s="1329"/>
      <c r="M6" s="1330" t="str">
        <f>IF(INDEX(CNTR_List_ExistPurchPrecNames,Z6)=CONST_NA,"",HYPERLINK("#"&amp;ADDRESS(ROW($C$14)+MATCH(Z6,$C$14:$C$1032,0)-1,COLUMN($C$14)),INDEX(CNTR_List_ExistPurchPrecNames,Z6)))</f>
        <v/>
      </c>
      <c r="N6" s="1340"/>
      <c r="O6" s="428"/>
      <c r="R6" s="307">
        <f>Z5+1</f>
        <v>16</v>
      </c>
      <c r="S6" s="308"/>
      <c r="T6" s="308">
        <f>R6+1</f>
        <v>17</v>
      </c>
      <c r="U6" s="308"/>
      <c r="V6" s="308">
        <f>T6+1</f>
        <v>18</v>
      </c>
      <c r="W6" s="308"/>
      <c r="X6" s="308">
        <f>V6+1</f>
        <v>19</v>
      </c>
      <c r="Y6" s="308"/>
      <c r="Z6" s="309">
        <f>X6+1</f>
        <v>20</v>
      </c>
    </row>
    <row r="7" spans="1:26" ht="5.0999999999999996" customHeight="1" x14ac:dyDescent="0.25">
      <c r="B7" s="94"/>
      <c r="C7" s="144"/>
      <c r="D7" s="144"/>
      <c r="E7" s="144"/>
      <c r="F7" s="144"/>
      <c r="G7" s="144"/>
      <c r="H7" s="144"/>
      <c r="I7" s="144"/>
      <c r="J7" s="144"/>
      <c r="K7" s="144"/>
      <c r="L7" s="144"/>
      <c r="M7" s="144"/>
      <c r="N7" s="144"/>
      <c r="O7" s="428"/>
    </row>
    <row r="8" spans="1:26" ht="25.5" customHeight="1" x14ac:dyDescent="0.25">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25">
      <c r="B9" s="94"/>
      <c r="C9" s="144"/>
      <c r="D9" s="144"/>
      <c r="E9" s="144"/>
      <c r="F9" s="144"/>
      <c r="G9" s="144"/>
      <c r="H9" s="144"/>
      <c r="I9" s="144"/>
      <c r="J9" s="144"/>
      <c r="K9" s="144"/>
      <c r="L9" s="144"/>
      <c r="M9" s="144"/>
      <c r="N9" s="144"/>
      <c r="O9" s="428"/>
    </row>
    <row r="10" spans="1:26" ht="12.75" customHeight="1" x14ac:dyDescent="0.25">
      <c r="B10" s="94"/>
      <c r="C10" s="144"/>
      <c r="D10" s="914"/>
      <c r="E10" s="1289" t="str">
        <f ca="1">HYPERLINK("#"&amp;ADDRESS(MATCH($S10,G_FurtherGuidance!$S:$S,0),3,,,G_FurtherGuidance!$U$2),CONST_LinkToGuidanceSheet)</f>
        <v>Please click on this link for further guidance on how to complete this section.</v>
      </c>
      <c r="F10" s="1316"/>
      <c r="G10" s="1316"/>
      <c r="H10" s="1316"/>
      <c r="I10" s="1316"/>
      <c r="J10" s="1316"/>
      <c r="K10" s="1316"/>
      <c r="L10" s="1316"/>
      <c r="M10" s="1316"/>
      <c r="N10" s="144"/>
      <c r="O10" s="428"/>
      <c r="R10" s="104" t="s">
        <v>2771</v>
      </c>
      <c r="S10" s="105">
        <v>4</v>
      </c>
      <c r="Y10" s="104"/>
    </row>
    <row r="11" spans="1:26" ht="5.0999999999999996" customHeight="1" x14ac:dyDescent="0.25">
      <c r="B11" s="94"/>
      <c r="C11" s="144"/>
      <c r="D11" s="144"/>
      <c r="E11" s="144"/>
      <c r="F11" s="144"/>
      <c r="G11" s="144"/>
      <c r="H11" s="144"/>
      <c r="I11" s="144"/>
      <c r="J11" s="144"/>
      <c r="K11" s="144"/>
      <c r="L11" s="144"/>
      <c r="M11" s="144"/>
      <c r="N11" s="144"/>
      <c r="O11" s="428"/>
    </row>
    <row r="12" spans="1:26" ht="18" customHeight="1" x14ac:dyDescent="0.25">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
      <c r="B13" s="94"/>
      <c r="C13" s="144"/>
      <c r="D13" s="144"/>
      <c r="E13" s="144"/>
      <c r="F13" s="144"/>
      <c r="G13" s="144"/>
      <c r="H13" s="144"/>
      <c r="I13" s="144"/>
      <c r="J13" s="144"/>
      <c r="K13" s="144"/>
      <c r="L13" s="144"/>
      <c r="M13" s="144"/>
      <c r="N13" s="144"/>
      <c r="O13" s="428"/>
      <c r="V13" s="91" t="s">
        <v>4115</v>
      </c>
    </row>
    <row r="14" spans="1:26" ht="18" customHeight="1" thickBot="1" x14ac:dyDescent="0.3">
      <c r="B14" s="94"/>
      <c r="C14" s="147">
        <v>1</v>
      </c>
      <c r="D14" s="944" t="str">
        <f>CONST_PurchPrecursor &amp; " " &amp; C14 &amp; ":"</f>
        <v>Purchased precursor 1:</v>
      </c>
      <c r="E14" s="144"/>
      <c r="F14" s="144"/>
      <c r="G14" s="1310" t="str">
        <f>IF(INDEX(CNTR_List_ExistPurchPrecNames,MATCH(R14,CNTR_ListPurchPrecID,0))=CONST_NA,"",INDEX(CNTR_List_ExistPurchPrecNames,MATCH(R14,CNTR_ListPurchPrecID,0)))</f>
        <v/>
      </c>
      <c r="H14" s="1311"/>
      <c r="I14" s="1311"/>
      <c r="J14" s="1311"/>
      <c r="K14" s="1312"/>
      <c r="L14" s="1313" t="str">
        <f>IF(INDEX(CNTR_List_ExistPurchPrec,MATCH(R14,CNTR_ListPurchPrecID,0))=CONST_NA,"",INDEX(CNTR_List_ExistPurchPrec,MATCH(R14,CNTR_ListPurchPrecID,0)))</f>
        <v/>
      </c>
      <c r="M14" s="1314"/>
      <c r="N14" s="1315"/>
      <c r="O14" s="428"/>
      <c r="R14" s="149" t="str">
        <f>INDEX(CNTR_ListPurchPrecID,C14)</f>
        <v>PP1</v>
      </c>
      <c r="Y14" s="104" t="s">
        <v>2748</v>
      </c>
      <c r="Z14" s="150" t="b">
        <f>AND(CNTR_HasEntriesA,G14="")</f>
        <v>0</v>
      </c>
    </row>
    <row r="15" spans="1:26" ht="26.45" customHeight="1" x14ac:dyDescent="0.25">
      <c r="B15" s="94"/>
      <c r="C15" s="144"/>
      <c r="D15" s="914"/>
      <c r="E15" s="1341" t="str">
        <f ca="1">HYPERLINK("#"&amp;ADDRESS(MATCH($S15,G_FurtherGuidance!$S:$S,0),3,,,G_FurtherGuidance!$U$2),CONST_LinkToGuidanceSheet)</f>
        <v>Please click on this link for further guidance on how to complete this section.</v>
      </c>
      <c r="F15" s="1342"/>
      <c r="G15" s="1342"/>
      <c r="H15" s="1342"/>
      <c r="I15" s="1342"/>
      <c r="J15" s="1342"/>
      <c r="K15" s="1342"/>
      <c r="L15" s="1342"/>
      <c r="M15" s="1342"/>
      <c r="N15" s="144"/>
      <c r="O15" s="428"/>
      <c r="R15" s="104" t="s">
        <v>2771</v>
      </c>
      <c r="S15" s="105">
        <v>4</v>
      </c>
      <c r="Y15" s="104"/>
    </row>
    <row r="16" spans="1:26" ht="12.75" customHeight="1" x14ac:dyDescent="0.25">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25">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25">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25">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25">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25">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25">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25">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25">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25">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25">
      <c r="A26" s="91"/>
      <c r="B26" s="94"/>
      <c r="D26" s="166"/>
      <c r="E26" s="167"/>
      <c r="O26" s="428"/>
      <c r="P26" s="94"/>
      <c r="Q26" s="93"/>
      <c r="R26" s="91"/>
      <c r="S26" s="91"/>
      <c r="T26" s="712"/>
      <c r="U26" s="91"/>
      <c r="V26" s="123"/>
      <c r="W26" s="91"/>
      <c r="X26" s="91"/>
      <c r="Y26" s="91"/>
      <c r="Z26" s="91"/>
    </row>
    <row r="27" spans="1:26" s="144" customFormat="1" ht="12.75" customHeight="1" x14ac:dyDescent="0.25">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25">
      <c r="A28" s="91"/>
      <c r="B28" s="94"/>
      <c r="D28" s="173">
        <v>1</v>
      </c>
      <c r="E28" s="174" t="str">
        <f t="shared" ref="E28:E37" si="2">IF(INDEX(CNTR_List_ExistProdProcNames,S28)=CONST_NA,"",INDEX(CNTR_List_ExistProdProcNames,S28))</f>
        <v/>
      </c>
      <c r="F28" s="175"/>
      <c r="G28" s="175"/>
      <c r="H28" s="175"/>
      <c r="I28" s="175"/>
      <c r="J28" s="176"/>
      <c r="K28" s="155" t="str">
        <f>IF(E28="","",K25)</f>
        <v/>
      </c>
      <c r="L28" s="29"/>
      <c r="O28" s="945"/>
      <c r="P28" s="94"/>
      <c r="Q28" s="93"/>
      <c r="R28" s="102" t="str">
        <f>CONST_PrecursorToGoodInput&amp;G14 &amp;"_"&amp;E28</f>
        <v>PrecToGood__</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25">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25">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25">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25">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25">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25">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25">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25">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25">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25">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25">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
      <c r="A40" s="91"/>
      <c r="B40" s="94"/>
      <c r="O40" s="428"/>
      <c r="P40" s="94"/>
      <c r="Q40" s="93"/>
      <c r="R40" s="91"/>
      <c r="S40" s="91"/>
      <c r="T40" s="712"/>
      <c r="U40" s="91"/>
      <c r="V40" s="91"/>
      <c r="W40" s="91"/>
      <c r="X40" s="91"/>
      <c r="Y40" s="91"/>
      <c r="Z40" s="91"/>
    </row>
    <row r="41" spans="1:26" ht="12.75" customHeight="1" x14ac:dyDescent="0.25">
      <c r="B41" s="94"/>
      <c r="C41" s="187"/>
      <c r="D41" s="188"/>
      <c r="E41" s="189"/>
      <c r="F41" s="190"/>
      <c r="G41" s="190"/>
      <c r="H41" s="190"/>
      <c r="I41" s="190"/>
      <c r="J41" s="190"/>
      <c r="K41" s="190"/>
      <c r="L41" s="190"/>
      <c r="M41" s="190"/>
      <c r="N41" s="191"/>
      <c r="O41" s="428"/>
      <c r="T41" s="712"/>
    </row>
    <row r="42" spans="1:26" ht="15" customHeight="1" x14ac:dyDescent="0.25">
      <c r="B42" s="94"/>
      <c r="C42" s="192"/>
      <c r="D42" s="193" t="str">
        <f>Translations!$B$279</f>
        <v>Specific embedded emissions:</v>
      </c>
      <c r="E42" s="194"/>
      <c r="F42" s="195"/>
      <c r="G42" s="195"/>
      <c r="H42" s="195"/>
      <c r="I42" s="195"/>
      <c r="J42" s="1327" t="str">
        <f>IF(G14="","",G14)</f>
        <v/>
      </c>
      <c r="K42" s="1327"/>
      <c r="L42" s="1327"/>
      <c r="M42" s="1327"/>
      <c r="N42" s="196"/>
      <c r="O42" s="428"/>
      <c r="T42" s="712"/>
    </row>
    <row r="43" spans="1:26" ht="5.0999999999999996" customHeight="1" x14ac:dyDescent="0.25">
      <c r="B43" s="94"/>
      <c r="C43" s="192"/>
      <c r="D43" s="197"/>
      <c r="E43" s="198"/>
      <c r="F43" s="195"/>
      <c r="G43" s="195"/>
      <c r="H43" s="195"/>
      <c r="I43" s="195"/>
      <c r="J43" s="195"/>
      <c r="K43" s="195"/>
      <c r="L43" s="195"/>
      <c r="M43" s="195"/>
      <c r="N43" s="196"/>
      <c r="O43" s="428"/>
      <c r="T43" s="712"/>
    </row>
    <row r="44" spans="1:26" ht="12.75" customHeight="1" x14ac:dyDescent="0.25">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000000000000004" customHeight="1" x14ac:dyDescent="0.25">
      <c r="B45" s="94"/>
      <c r="C45" s="192"/>
      <c r="D45" s="199"/>
      <c r="E45" s="1326"/>
      <c r="F45" s="1326"/>
      <c r="G45" s="1326"/>
      <c r="H45" s="1326"/>
      <c r="I45" s="1326"/>
      <c r="J45" s="1326"/>
      <c r="K45" s="1326"/>
      <c r="L45" s="1326"/>
      <c r="M45" s="1326"/>
      <c r="N45" s="196"/>
      <c r="O45" s="428"/>
      <c r="T45" s="712"/>
    </row>
    <row r="46" spans="1:26" ht="13.15" customHeight="1" x14ac:dyDescent="0.25">
      <c r="B46" s="94"/>
      <c r="C46" s="192"/>
      <c r="D46" s="199"/>
      <c r="E46" s="1318" t="str">
        <f ca="1">HYPERLINK("#"&amp;ADDRESS(MATCH($S46,G_FurtherGuidance!$S:$S,0),3,,,G_FurtherGuidance!$U$2),CONST_LinkToGuidanceSheet)</f>
        <v>Please click on this link for further guidance on how to complete this section.</v>
      </c>
      <c r="F46" s="1319"/>
      <c r="G46" s="1319"/>
      <c r="H46" s="1319"/>
      <c r="I46" s="1319"/>
      <c r="J46" s="1319"/>
      <c r="K46" s="1319"/>
      <c r="L46" s="1319"/>
      <c r="M46" s="1319"/>
      <c r="N46" s="196"/>
      <c r="O46" s="428"/>
      <c r="R46" s="104" t="s">
        <v>2771</v>
      </c>
      <c r="S46" s="105">
        <v>4</v>
      </c>
      <c r="T46" s="712"/>
    </row>
    <row r="47" spans="1:26" ht="4.9000000000000004" customHeight="1" x14ac:dyDescent="0.25">
      <c r="B47" s="94"/>
      <c r="C47" s="192"/>
      <c r="D47" s="199"/>
      <c r="E47" s="1326"/>
      <c r="F47" s="1326"/>
      <c r="G47" s="1326"/>
      <c r="H47" s="1326"/>
      <c r="I47" s="1326"/>
      <c r="J47" s="1326"/>
      <c r="K47" s="1326"/>
      <c r="L47" s="1326"/>
      <c r="M47" s="1326"/>
      <c r="N47" s="384"/>
      <c r="O47" s="428"/>
      <c r="T47" s="712"/>
    </row>
    <row r="48" spans="1:26" ht="12.75" customHeight="1" x14ac:dyDescent="0.25">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25">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25">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25">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25">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25">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25">
      <c r="B54" s="94"/>
      <c r="C54" s="192"/>
      <c r="D54" s="197" t="s">
        <v>45</v>
      </c>
      <c r="E54" s="201" t="str">
        <f>Translations!$B$1858</f>
        <v>Justification for use of default values (if relevant):</v>
      </c>
      <c r="F54" s="201"/>
      <c r="G54" s="201"/>
      <c r="H54" s="201"/>
      <c r="I54" s="201"/>
      <c r="J54" s="201"/>
      <c r="K54" s="1325"/>
      <c r="L54" s="1325"/>
      <c r="M54" s="1325"/>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
      <c r="A56" s="91"/>
      <c r="B56" s="94"/>
      <c r="O56" s="428"/>
      <c r="P56" s="94"/>
      <c r="Q56" s="93"/>
      <c r="R56" s="91"/>
      <c r="S56" s="91"/>
      <c r="T56" s="712"/>
      <c r="U56" s="91"/>
      <c r="V56" s="91"/>
      <c r="W56" s="91"/>
      <c r="X56" s="91"/>
      <c r="Y56" s="91"/>
      <c r="Z56" s="91"/>
    </row>
    <row r="57" spans="1:26" s="144" customFormat="1" ht="12.75" customHeight="1" thickBot="1" x14ac:dyDescent="0.3">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
      <c r="B58" s="94"/>
      <c r="C58" s="147">
        <f>C14+1</f>
        <v>2</v>
      </c>
      <c r="D58" s="944" t="str">
        <f>CONST_PurchPrecursor &amp; " " &amp; C58 &amp; ":"</f>
        <v>Purchased precursor 2:</v>
      </c>
      <c r="E58" s="144"/>
      <c r="F58" s="144"/>
      <c r="G58" s="1310" t="str">
        <f>IF(INDEX(CNTR_List_ExistPurchPrecNames,MATCH(R58,CNTR_ListPurchPrecID,0))=CONST_NA,"",INDEX(CNTR_List_ExistPurchPrecNames,MATCH(R58,CNTR_ListPurchPrecID,0)))</f>
        <v/>
      </c>
      <c r="H58" s="1311"/>
      <c r="I58" s="1311"/>
      <c r="J58" s="1311"/>
      <c r="K58" s="1312"/>
      <c r="L58" s="1313" t="str">
        <f>IF(INDEX(CNTR_List_ExistPurchPrec,MATCH(R58,CNTR_ListPurchPrecID,0))=CONST_NA,"",INDEX(CNTR_List_ExistPurchPrec,MATCH(R58,CNTR_ListPurchPrecID,0)))</f>
        <v/>
      </c>
      <c r="M58" s="1314"/>
      <c r="N58" s="1315"/>
      <c r="O58" s="428"/>
      <c r="R58" s="149" t="str">
        <f>INDEX(CNTR_ListPurchPrecID,C58)</f>
        <v>PP2</v>
      </c>
      <c r="Y58" s="104" t="s">
        <v>2748</v>
      </c>
      <c r="Z58" s="150" t="b">
        <f>AND(CNTR_HasEntriesA,G58="")</f>
        <v>0</v>
      </c>
    </row>
    <row r="59" spans="1:26" ht="26.45" customHeight="1" x14ac:dyDescent="0.25">
      <c r="B59" s="94"/>
      <c r="C59" s="144"/>
      <c r="D59" s="914"/>
      <c r="E59" s="1341" t="str">
        <f ca="1">HYPERLINK("#"&amp;ADDRESS(MATCH($S59,G_FurtherGuidance!$S:$S,0),3,,,G_FurtherGuidance!$U$2),CONST_LinkToGuidanceSheet)</f>
        <v>Please click on this link for further guidance on how to complete this section.</v>
      </c>
      <c r="F59" s="1342"/>
      <c r="G59" s="1342"/>
      <c r="H59" s="1342"/>
      <c r="I59" s="1342"/>
      <c r="J59" s="1342"/>
      <c r="K59" s="1342"/>
      <c r="L59" s="1342"/>
      <c r="M59" s="1342"/>
      <c r="N59" s="144"/>
      <c r="O59" s="428"/>
      <c r="R59" s="104" t="s">
        <v>2771</v>
      </c>
      <c r="S59" s="105">
        <v>4</v>
      </c>
      <c r="Y59" s="104"/>
    </row>
    <row r="60" spans="1:26" ht="12.75" customHeight="1" x14ac:dyDescent="0.25">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25">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25">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25">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25">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25">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25">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25">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25">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25">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25">
      <c r="A70" s="91"/>
      <c r="B70" s="94"/>
      <c r="D70" s="166"/>
      <c r="E70" s="167"/>
      <c r="O70" s="428"/>
      <c r="P70" s="94"/>
      <c r="Q70" s="93"/>
      <c r="R70" s="91"/>
      <c r="S70" s="91"/>
      <c r="T70" s="712"/>
      <c r="U70" s="91"/>
      <c r="V70" s="123"/>
      <c r="W70" s="91"/>
      <c r="X70" s="91"/>
      <c r="Y70" s="91"/>
      <c r="Z70" s="91"/>
    </row>
    <row r="71" spans="1:26" s="144" customFormat="1" ht="12.75" customHeight="1" x14ac:dyDescent="0.25">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25">
      <c r="A72" s="91"/>
      <c r="B72" s="94"/>
      <c r="D72" s="173">
        <v>1</v>
      </c>
      <c r="E72" s="174" t="str">
        <f t="shared" ref="E72:E81" si="7">IF(INDEX(CNTR_List_ExistProdProcNames,S72)=CONST_NA,"",INDEX(CNTR_List_ExistProdProcNames,S72))</f>
        <v/>
      </c>
      <c r="F72" s="175"/>
      <c r="G72" s="175"/>
      <c r="H72" s="175"/>
      <c r="I72" s="175"/>
      <c r="J72" s="176"/>
      <c r="K72" s="155" t="str">
        <f>IF(E72="","",K69)</f>
        <v/>
      </c>
      <c r="L72" s="29"/>
      <c r="O72" s="945"/>
      <c r="P72" s="94"/>
      <c r="Q72" s="93"/>
      <c r="R72" s="102" t="str">
        <f>CONST_PrecursorToGoodInput&amp;G58 &amp;"_"&amp;E72</f>
        <v>PrecToGood__</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25">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25">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25">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25">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25">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25">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25">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25">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25">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25">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25">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
      <c r="A84" s="91"/>
      <c r="B84" s="94"/>
      <c r="O84" s="428"/>
      <c r="P84" s="94"/>
      <c r="Q84" s="93"/>
      <c r="R84" s="91"/>
      <c r="S84" s="91"/>
      <c r="T84" s="712"/>
      <c r="U84" s="91"/>
      <c r="V84" s="91"/>
      <c r="W84" s="91"/>
      <c r="X84" s="91"/>
      <c r="Y84" s="91"/>
      <c r="Z84" s="91"/>
    </row>
    <row r="85" spans="1:26" ht="12.75" customHeight="1" x14ac:dyDescent="0.25">
      <c r="B85" s="94"/>
      <c r="C85" s="187"/>
      <c r="D85" s="188"/>
      <c r="E85" s="189"/>
      <c r="F85" s="190"/>
      <c r="G85" s="190"/>
      <c r="H85" s="190"/>
      <c r="I85" s="190"/>
      <c r="J85" s="190"/>
      <c r="K85" s="190"/>
      <c r="L85" s="190"/>
      <c r="M85" s="190"/>
      <c r="N85" s="191"/>
      <c r="O85" s="428"/>
      <c r="T85" s="712"/>
    </row>
    <row r="86" spans="1:26" ht="15" customHeight="1" x14ac:dyDescent="0.25">
      <c r="B86" s="94"/>
      <c r="C86" s="192"/>
      <c r="D86" s="193" t="str">
        <f>Translations!$B$279</f>
        <v>Specific embedded emissions:</v>
      </c>
      <c r="E86" s="194"/>
      <c r="F86" s="195"/>
      <c r="G86" s="195"/>
      <c r="H86" s="195"/>
      <c r="I86" s="195"/>
      <c r="J86" s="1327" t="str">
        <f>IF(G58="","",G58)</f>
        <v/>
      </c>
      <c r="K86" s="1327"/>
      <c r="L86" s="1327"/>
      <c r="M86" s="1327"/>
      <c r="N86" s="196"/>
      <c r="O86" s="428"/>
      <c r="T86" s="712"/>
    </row>
    <row r="87" spans="1:26" ht="5.0999999999999996" customHeight="1" x14ac:dyDescent="0.25">
      <c r="B87" s="94"/>
      <c r="C87" s="192"/>
      <c r="D87" s="197"/>
      <c r="E87" s="198"/>
      <c r="F87" s="195"/>
      <c r="G87" s="195"/>
      <c r="H87" s="195"/>
      <c r="I87" s="195"/>
      <c r="J87" s="195"/>
      <c r="K87" s="195"/>
      <c r="L87" s="195"/>
      <c r="M87" s="195"/>
      <c r="N87" s="196"/>
      <c r="O87" s="428"/>
      <c r="T87" s="712"/>
    </row>
    <row r="88" spans="1:26" ht="12.75" customHeight="1" x14ac:dyDescent="0.25">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000000000000004" customHeight="1" x14ac:dyDescent="0.25">
      <c r="B89" s="94"/>
      <c r="C89" s="192"/>
      <c r="D89" s="199"/>
      <c r="E89" s="1326"/>
      <c r="F89" s="1326"/>
      <c r="G89" s="1326"/>
      <c r="H89" s="1326"/>
      <c r="I89" s="1326"/>
      <c r="J89" s="1326"/>
      <c r="K89" s="1326"/>
      <c r="L89" s="1326"/>
      <c r="M89" s="1326"/>
      <c r="N89" s="196"/>
      <c r="O89" s="428"/>
      <c r="T89" s="712"/>
    </row>
    <row r="90" spans="1:26" ht="13.15" customHeight="1" x14ac:dyDescent="0.25">
      <c r="B90" s="94"/>
      <c r="C90" s="192"/>
      <c r="D90" s="199"/>
      <c r="E90" s="1318" t="str">
        <f ca="1">HYPERLINK("#"&amp;ADDRESS(MATCH($S90,G_FurtherGuidance!$S:$S,0),3,,,G_FurtherGuidance!$U$2),CONST_LinkToGuidanceSheet)</f>
        <v>Please click on this link for further guidance on how to complete this section.</v>
      </c>
      <c r="F90" s="1319"/>
      <c r="G90" s="1319"/>
      <c r="H90" s="1319"/>
      <c r="I90" s="1319"/>
      <c r="J90" s="1319"/>
      <c r="K90" s="1319"/>
      <c r="L90" s="1319"/>
      <c r="M90" s="1319"/>
      <c r="N90" s="196"/>
      <c r="O90" s="428"/>
      <c r="R90" s="104" t="s">
        <v>2771</v>
      </c>
      <c r="S90" s="105">
        <v>4</v>
      </c>
      <c r="T90" s="712"/>
    </row>
    <row r="91" spans="1:26" ht="4.9000000000000004" customHeight="1" x14ac:dyDescent="0.25">
      <c r="B91" s="94"/>
      <c r="C91" s="192"/>
      <c r="D91" s="199"/>
      <c r="E91" s="1326"/>
      <c r="F91" s="1326"/>
      <c r="G91" s="1326"/>
      <c r="H91" s="1326"/>
      <c r="I91" s="1326"/>
      <c r="J91" s="1326"/>
      <c r="K91" s="1326"/>
      <c r="L91" s="1326"/>
      <c r="M91" s="1326"/>
      <c r="N91" s="384"/>
      <c r="O91" s="428"/>
      <c r="T91" s="712"/>
    </row>
    <row r="92" spans="1:26" ht="12.75" customHeight="1" x14ac:dyDescent="0.25">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25">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25">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25">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25">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25">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25">
      <c r="B98" s="94"/>
      <c r="C98" s="192"/>
      <c r="D98" s="197" t="s">
        <v>45</v>
      </c>
      <c r="E98" s="201" t="str">
        <f>Translations!$B$1858</f>
        <v>Justification for use of default values (if relevant):</v>
      </c>
      <c r="F98" s="201"/>
      <c r="G98" s="201"/>
      <c r="H98" s="201"/>
      <c r="I98" s="201"/>
      <c r="J98" s="201"/>
      <c r="K98" s="1325"/>
      <c r="L98" s="1325"/>
      <c r="M98" s="1325"/>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
      <c r="A100" s="91"/>
      <c r="B100" s="94"/>
      <c r="O100" s="428"/>
      <c r="P100" s="94"/>
      <c r="Q100" s="93"/>
      <c r="R100" s="91"/>
      <c r="S100" s="91"/>
      <c r="T100" s="712"/>
      <c r="U100" s="91"/>
      <c r="V100" s="91"/>
      <c r="W100" s="91"/>
      <c r="X100" s="91"/>
      <c r="Y100" s="91"/>
      <c r="Z100" s="91"/>
    </row>
    <row r="101" spans="1:26" s="144" customFormat="1" ht="12.75" customHeight="1" thickBot="1" x14ac:dyDescent="0.3">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
      <c r="B102" s="94"/>
      <c r="C102" s="147">
        <f>C58+1</f>
        <v>3</v>
      </c>
      <c r="D102" s="944" t="str">
        <f>CONST_PurchPrecursor &amp; " " &amp; C102 &amp; ":"</f>
        <v>Purchased precursor 3:</v>
      </c>
      <c r="E102" s="144"/>
      <c r="F102" s="144"/>
      <c r="G102" s="1310" t="str">
        <f>IF(INDEX(CNTR_List_ExistPurchPrecNames,MATCH(R102,CNTR_ListPurchPrecID,0))=CONST_NA,"",INDEX(CNTR_List_ExistPurchPrecNames,MATCH(R102,CNTR_ListPurchPrecID,0)))</f>
        <v/>
      </c>
      <c r="H102" s="1311"/>
      <c r="I102" s="1311"/>
      <c r="J102" s="1311"/>
      <c r="K102" s="1312"/>
      <c r="L102" s="1313" t="str">
        <f>IF(INDEX(CNTR_List_ExistPurchPrec,MATCH(R102,CNTR_ListPurchPrecID,0))=CONST_NA,"",INDEX(CNTR_List_ExistPurchPrec,MATCH(R102,CNTR_ListPurchPrecID,0)))</f>
        <v/>
      </c>
      <c r="M102" s="1314"/>
      <c r="N102" s="1315"/>
      <c r="O102" s="428"/>
      <c r="R102" s="149" t="str">
        <f>INDEX(CNTR_ListPurchPrecID,C102)</f>
        <v>PP3</v>
      </c>
      <c r="Y102" s="104" t="s">
        <v>2748</v>
      </c>
      <c r="Z102" s="150" t="b">
        <f>AND(CNTR_HasEntriesA,G102="")</f>
        <v>0</v>
      </c>
    </row>
    <row r="103" spans="1:26" ht="26.45" customHeight="1" x14ac:dyDescent="0.25">
      <c r="B103" s="94"/>
      <c r="C103" s="144"/>
      <c r="D103" s="914"/>
      <c r="E103" s="1341" t="str">
        <f ca="1">HYPERLINK("#"&amp;ADDRESS(MATCH($S103,G_FurtherGuidance!$S:$S,0),3,,,G_FurtherGuidance!$U$2),CONST_LinkToGuidanceSheet)</f>
        <v>Please click on this link for further guidance on how to complete this section.</v>
      </c>
      <c r="F103" s="1342"/>
      <c r="G103" s="1342"/>
      <c r="H103" s="1342"/>
      <c r="I103" s="1342"/>
      <c r="J103" s="1342"/>
      <c r="K103" s="1342"/>
      <c r="L103" s="1342"/>
      <c r="M103" s="1342"/>
      <c r="N103" s="144"/>
      <c r="O103" s="428"/>
      <c r="R103" s="104" t="s">
        <v>2771</v>
      </c>
      <c r="S103" s="105">
        <v>4</v>
      </c>
      <c r="Y103" s="104"/>
    </row>
    <row r="104" spans="1:26" ht="12.75" customHeight="1" x14ac:dyDescent="0.25">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25">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25">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25">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25">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25">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25">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25">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25">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25">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25">
      <c r="A114" s="91"/>
      <c r="B114" s="94"/>
      <c r="D114" s="166"/>
      <c r="E114" s="167"/>
      <c r="O114" s="428"/>
      <c r="P114" s="94"/>
      <c r="Q114" s="93"/>
      <c r="R114" s="91"/>
      <c r="S114" s="91"/>
      <c r="T114" s="712"/>
      <c r="U114" s="91"/>
      <c r="V114" s="123"/>
      <c r="W114" s="91"/>
      <c r="X114" s="91"/>
      <c r="Y114" s="91"/>
      <c r="Z114" s="91"/>
    </row>
    <row r="115" spans="1:26" s="144" customFormat="1" ht="12.75" customHeight="1" x14ac:dyDescent="0.25">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25">
      <c r="A116" s="91"/>
      <c r="B116" s="94"/>
      <c r="D116" s="173">
        <v>1</v>
      </c>
      <c r="E116" s="174" t="str">
        <f t="shared" ref="E116:E125" si="12">IF(INDEX(CNTR_List_ExistProdProcNames,S116)=CONST_NA,"",INDEX(CNTR_List_ExistProdProcNames,S116))</f>
        <v/>
      </c>
      <c r="F116" s="175"/>
      <c r="G116" s="175"/>
      <c r="H116" s="175"/>
      <c r="I116" s="175"/>
      <c r="J116" s="176"/>
      <c r="K116" s="155" t="str">
        <f>IF(E116="","",K113)</f>
        <v/>
      </c>
      <c r="L116" s="29"/>
      <c r="O116" s="945"/>
      <c r="P116" s="94"/>
      <c r="Q116" s="93"/>
      <c r="R116" s="102" t="str">
        <f>CONST_PrecursorToGoodInput&amp;G102 &amp;"_"&amp;E116</f>
        <v>PrecToGood__</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25">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25">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25">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25">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25">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25">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25">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25">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25">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25">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25">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
      <c r="A128" s="91"/>
      <c r="B128" s="94"/>
      <c r="O128" s="428"/>
      <c r="P128" s="94"/>
      <c r="Q128" s="93"/>
      <c r="R128" s="91"/>
      <c r="S128" s="91"/>
      <c r="T128" s="712"/>
      <c r="U128" s="91"/>
      <c r="V128" s="91"/>
      <c r="W128" s="91"/>
      <c r="X128" s="91"/>
      <c r="Y128" s="91"/>
      <c r="Z128" s="91"/>
    </row>
    <row r="129" spans="1:26" ht="12.75" customHeight="1" x14ac:dyDescent="0.25">
      <c r="B129" s="94"/>
      <c r="C129" s="187"/>
      <c r="D129" s="188"/>
      <c r="E129" s="189"/>
      <c r="F129" s="190"/>
      <c r="G129" s="190"/>
      <c r="H129" s="190"/>
      <c r="I129" s="190"/>
      <c r="J129" s="190"/>
      <c r="K129" s="190"/>
      <c r="L129" s="190"/>
      <c r="M129" s="190"/>
      <c r="N129" s="191"/>
      <c r="O129" s="428"/>
      <c r="T129" s="712"/>
    </row>
    <row r="130" spans="1:26" ht="15" customHeight="1" x14ac:dyDescent="0.25">
      <c r="B130" s="94"/>
      <c r="C130" s="192"/>
      <c r="D130" s="193" t="str">
        <f>Translations!$B$279</f>
        <v>Specific embedded emissions:</v>
      </c>
      <c r="E130" s="194"/>
      <c r="F130" s="195"/>
      <c r="G130" s="195"/>
      <c r="H130" s="195"/>
      <c r="I130" s="195"/>
      <c r="J130" s="1327" t="str">
        <f>IF(G102="","",G102)</f>
        <v/>
      </c>
      <c r="K130" s="1327"/>
      <c r="L130" s="1327"/>
      <c r="M130" s="1327"/>
      <c r="N130" s="196"/>
      <c r="O130" s="428"/>
      <c r="T130" s="712"/>
    </row>
    <row r="131" spans="1:26" ht="5.0999999999999996" customHeight="1" x14ac:dyDescent="0.25">
      <c r="B131" s="94"/>
      <c r="C131" s="192"/>
      <c r="D131" s="197"/>
      <c r="E131" s="198"/>
      <c r="F131" s="195"/>
      <c r="G131" s="195"/>
      <c r="H131" s="195"/>
      <c r="I131" s="195"/>
      <c r="J131" s="195"/>
      <c r="K131" s="195"/>
      <c r="L131" s="195"/>
      <c r="M131" s="195"/>
      <c r="N131" s="196"/>
      <c r="O131" s="428"/>
      <c r="T131" s="712"/>
    </row>
    <row r="132" spans="1:26" ht="12.75" customHeight="1" x14ac:dyDescent="0.25">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000000000000004" customHeight="1" x14ac:dyDescent="0.25">
      <c r="B133" s="94"/>
      <c r="C133" s="192"/>
      <c r="D133" s="199"/>
      <c r="E133" s="1326"/>
      <c r="F133" s="1326"/>
      <c r="G133" s="1326"/>
      <c r="H133" s="1326"/>
      <c r="I133" s="1326"/>
      <c r="J133" s="1326"/>
      <c r="K133" s="1326"/>
      <c r="L133" s="1326"/>
      <c r="M133" s="1326"/>
      <c r="N133" s="196"/>
      <c r="O133" s="428"/>
      <c r="T133" s="712"/>
    </row>
    <row r="134" spans="1:26" ht="13.15" customHeight="1" x14ac:dyDescent="0.25">
      <c r="B134" s="94"/>
      <c r="C134" s="192"/>
      <c r="D134" s="199"/>
      <c r="E134" s="1318" t="str">
        <f ca="1">HYPERLINK("#"&amp;ADDRESS(MATCH($S134,G_FurtherGuidance!$S:$S,0),3,,,G_FurtherGuidance!$U$2),CONST_LinkToGuidanceSheet)</f>
        <v>Please click on this link for further guidance on how to complete this section.</v>
      </c>
      <c r="F134" s="1319"/>
      <c r="G134" s="1319"/>
      <c r="H134" s="1319"/>
      <c r="I134" s="1319"/>
      <c r="J134" s="1319"/>
      <c r="K134" s="1319"/>
      <c r="L134" s="1319"/>
      <c r="M134" s="1319"/>
      <c r="N134" s="196"/>
      <c r="O134" s="428"/>
      <c r="R134" s="104" t="s">
        <v>2771</v>
      </c>
      <c r="S134" s="105">
        <v>4</v>
      </c>
      <c r="T134" s="712"/>
    </row>
    <row r="135" spans="1:26" ht="4.9000000000000004" customHeight="1" x14ac:dyDescent="0.25">
      <c r="B135" s="94"/>
      <c r="C135" s="192"/>
      <c r="D135" s="199"/>
      <c r="E135" s="1326"/>
      <c r="F135" s="1326"/>
      <c r="G135" s="1326"/>
      <c r="H135" s="1326"/>
      <c r="I135" s="1326"/>
      <c r="J135" s="1326"/>
      <c r="K135" s="1326"/>
      <c r="L135" s="1326"/>
      <c r="M135" s="1326"/>
      <c r="N135" s="384"/>
      <c r="O135" s="428"/>
      <c r="T135" s="712"/>
    </row>
    <row r="136" spans="1:26" ht="12.75" customHeight="1" x14ac:dyDescent="0.25">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25">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25">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25">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25">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25">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25">
      <c r="B142" s="94"/>
      <c r="C142" s="192"/>
      <c r="D142" s="197" t="s">
        <v>45</v>
      </c>
      <c r="E142" s="201" t="str">
        <f>Translations!$B$1858</f>
        <v>Justification for use of default values (if relevant):</v>
      </c>
      <c r="F142" s="201"/>
      <c r="G142" s="201"/>
      <c r="H142" s="201"/>
      <c r="I142" s="201"/>
      <c r="J142" s="201"/>
      <c r="K142" s="1325"/>
      <c r="L142" s="1325"/>
      <c r="M142" s="1325"/>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
      <c r="A144" s="91"/>
      <c r="B144" s="94"/>
      <c r="O144" s="428"/>
      <c r="P144" s="94"/>
      <c r="Q144" s="93"/>
      <c r="R144" s="91"/>
      <c r="S144" s="91"/>
      <c r="T144" s="712"/>
      <c r="U144" s="91"/>
      <c r="V144" s="91"/>
      <c r="W144" s="91"/>
      <c r="X144" s="91"/>
      <c r="Y144" s="91"/>
      <c r="Z144" s="91"/>
    </row>
    <row r="145" spans="1:26" s="144" customFormat="1" ht="12.75" customHeight="1" thickBot="1" x14ac:dyDescent="0.3">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
      <c r="B146" s="94"/>
      <c r="C146" s="147">
        <f>C102+1</f>
        <v>4</v>
      </c>
      <c r="D146" s="944" t="str">
        <f>CONST_PurchPrecursor &amp; " " &amp; C146 &amp; ":"</f>
        <v>Purchased precursor 4:</v>
      </c>
      <c r="E146" s="144"/>
      <c r="F146" s="144"/>
      <c r="G146" s="1310" t="str">
        <f>IF(INDEX(CNTR_List_ExistPurchPrecNames,MATCH(R146,CNTR_ListPurchPrecID,0))=CONST_NA,"",INDEX(CNTR_List_ExistPurchPrecNames,MATCH(R146,CNTR_ListPurchPrecID,0)))</f>
        <v/>
      </c>
      <c r="H146" s="1311"/>
      <c r="I146" s="1311"/>
      <c r="J146" s="1311"/>
      <c r="K146" s="1312"/>
      <c r="L146" s="1313" t="str">
        <f>IF(INDEX(CNTR_List_ExistPurchPrec,MATCH(R146,CNTR_ListPurchPrecID,0))=CONST_NA,"",INDEX(CNTR_List_ExistPurchPrec,MATCH(R146,CNTR_ListPurchPrecID,0)))</f>
        <v/>
      </c>
      <c r="M146" s="1314"/>
      <c r="N146" s="1315"/>
      <c r="O146" s="428"/>
      <c r="R146" s="149" t="str">
        <f>INDEX(CNTR_ListPurchPrecID,C146)</f>
        <v>PP4</v>
      </c>
      <c r="Y146" s="104" t="s">
        <v>2748</v>
      </c>
      <c r="Z146" s="150" t="b">
        <f>AND(CNTR_HasEntriesA,G146="")</f>
        <v>0</v>
      </c>
    </row>
    <row r="147" spans="1:26" ht="26.45" customHeight="1" x14ac:dyDescent="0.25">
      <c r="B147" s="94"/>
      <c r="C147" s="144"/>
      <c r="D147" s="914"/>
      <c r="E147" s="1341" t="str">
        <f ca="1">HYPERLINK("#"&amp;ADDRESS(MATCH($S147,G_FurtherGuidance!$S:$S,0),3,,,G_FurtherGuidance!$U$2),CONST_LinkToGuidanceSheet)</f>
        <v>Please click on this link for further guidance on how to complete this section.</v>
      </c>
      <c r="F147" s="1342"/>
      <c r="G147" s="1342"/>
      <c r="H147" s="1342"/>
      <c r="I147" s="1342"/>
      <c r="J147" s="1342"/>
      <c r="K147" s="1342"/>
      <c r="L147" s="1342"/>
      <c r="M147" s="1342"/>
      <c r="N147" s="144"/>
      <c r="O147" s="428"/>
      <c r="R147" s="104" t="s">
        <v>2771</v>
      </c>
      <c r="S147" s="105">
        <v>4</v>
      </c>
      <c r="Y147" s="104"/>
    </row>
    <row r="148" spans="1:26" ht="12.75" customHeight="1" x14ac:dyDescent="0.25">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25">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25">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25">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25">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25">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25">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25">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25">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25">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25">
      <c r="A158" s="91"/>
      <c r="B158" s="94"/>
      <c r="D158" s="166"/>
      <c r="E158" s="167"/>
      <c r="O158" s="428"/>
      <c r="P158" s="94"/>
      <c r="Q158" s="93"/>
      <c r="R158" s="91"/>
      <c r="S158" s="91"/>
      <c r="T158" s="712"/>
      <c r="U158" s="91"/>
      <c r="V158" s="123"/>
      <c r="W158" s="91"/>
      <c r="X158" s="91"/>
      <c r="Y158" s="91"/>
      <c r="Z158" s="91"/>
    </row>
    <row r="159" spans="1:26" s="144" customFormat="1" ht="12.75" customHeight="1" x14ac:dyDescent="0.25">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25">
      <c r="A160" s="91"/>
      <c r="B160" s="94"/>
      <c r="D160" s="173">
        <v>1</v>
      </c>
      <c r="E160" s="174" t="str">
        <f t="shared" ref="E160:E169" si="17">IF(INDEX(CNTR_List_ExistProdProcNames,S160)=CONST_NA,"",INDEX(CNTR_List_ExistProdProcNames,S160))</f>
        <v/>
      </c>
      <c r="F160" s="175"/>
      <c r="G160" s="175"/>
      <c r="H160" s="175"/>
      <c r="I160" s="175"/>
      <c r="J160" s="176"/>
      <c r="K160" s="155" t="str">
        <f>IF(E160="","",K157)</f>
        <v/>
      </c>
      <c r="L160" s="29"/>
      <c r="O160" s="945"/>
      <c r="P160" s="94"/>
      <c r="Q160" s="93"/>
      <c r="R160" s="102" t="str">
        <f>CONST_PrecursorToGoodInput&amp;G146 &amp;"_"&amp;E160</f>
        <v>PrecToGood__</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25">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25">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25">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25">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25">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25">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25">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25">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25">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25">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25">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
      <c r="A172" s="91"/>
      <c r="B172" s="94"/>
      <c r="O172" s="428"/>
      <c r="P172" s="94"/>
      <c r="Q172" s="93"/>
      <c r="R172" s="91"/>
      <c r="S172" s="91"/>
      <c r="T172" s="712"/>
      <c r="U172" s="91"/>
      <c r="V172" s="91"/>
      <c r="W172" s="91"/>
      <c r="X172" s="91"/>
      <c r="Y172" s="91"/>
      <c r="Z172" s="91"/>
    </row>
    <row r="173" spans="1:26" ht="12.75" customHeight="1" x14ac:dyDescent="0.25">
      <c r="B173" s="94"/>
      <c r="C173" s="187"/>
      <c r="D173" s="188"/>
      <c r="E173" s="189"/>
      <c r="F173" s="190"/>
      <c r="G173" s="190"/>
      <c r="H173" s="190"/>
      <c r="I173" s="190"/>
      <c r="J173" s="190"/>
      <c r="K173" s="190"/>
      <c r="L173" s="190"/>
      <c r="M173" s="190"/>
      <c r="N173" s="191"/>
      <c r="O173" s="428"/>
      <c r="T173" s="712"/>
    </row>
    <row r="174" spans="1:26" ht="15" customHeight="1" x14ac:dyDescent="0.25">
      <c r="B174" s="94"/>
      <c r="C174" s="192"/>
      <c r="D174" s="193" t="str">
        <f>Translations!$B$279</f>
        <v>Specific embedded emissions:</v>
      </c>
      <c r="E174" s="194"/>
      <c r="F174" s="195"/>
      <c r="G174" s="195"/>
      <c r="H174" s="195"/>
      <c r="I174" s="195"/>
      <c r="J174" s="1327" t="str">
        <f>IF(G146="","",G146)</f>
        <v/>
      </c>
      <c r="K174" s="1327"/>
      <c r="L174" s="1327"/>
      <c r="M174" s="1327"/>
      <c r="N174" s="196"/>
      <c r="O174" s="428"/>
      <c r="T174" s="712"/>
    </row>
    <row r="175" spans="1:26" ht="5.0999999999999996" customHeight="1" x14ac:dyDescent="0.25">
      <c r="B175" s="94"/>
      <c r="C175" s="192"/>
      <c r="D175" s="197"/>
      <c r="E175" s="198"/>
      <c r="F175" s="195"/>
      <c r="G175" s="195"/>
      <c r="H175" s="195"/>
      <c r="I175" s="195"/>
      <c r="J175" s="195"/>
      <c r="K175" s="195"/>
      <c r="L175" s="195"/>
      <c r="M175" s="195"/>
      <c r="N175" s="196"/>
      <c r="O175" s="428"/>
      <c r="T175" s="712"/>
    </row>
    <row r="176" spans="1:26" ht="12.75" customHeight="1" x14ac:dyDescent="0.25">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000000000000004" customHeight="1" x14ac:dyDescent="0.25">
      <c r="B177" s="94"/>
      <c r="C177" s="192"/>
      <c r="D177" s="199"/>
      <c r="E177" s="1326"/>
      <c r="F177" s="1326"/>
      <c r="G177" s="1326"/>
      <c r="H177" s="1326"/>
      <c r="I177" s="1326"/>
      <c r="J177" s="1326"/>
      <c r="K177" s="1326"/>
      <c r="L177" s="1326"/>
      <c r="M177" s="1326"/>
      <c r="N177" s="196"/>
      <c r="O177" s="428"/>
      <c r="T177" s="712"/>
    </row>
    <row r="178" spans="1:26" ht="13.15" customHeight="1" x14ac:dyDescent="0.25">
      <c r="B178" s="94"/>
      <c r="C178" s="192"/>
      <c r="D178" s="199"/>
      <c r="E178" s="1318" t="str">
        <f ca="1">HYPERLINK("#"&amp;ADDRESS(MATCH($S178,G_FurtherGuidance!$S:$S,0),3,,,G_FurtherGuidance!$U$2),CONST_LinkToGuidanceSheet)</f>
        <v>Please click on this link for further guidance on how to complete this section.</v>
      </c>
      <c r="F178" s="1319"/>
      <c r="G178" s="1319"/>
      <c r="H178" s="1319"/>
      <c r="I178" s="1319"/>
      <c r="J178" s="1319"/>
      <c r="K178" s="1319"/>
      <c r="L178" s="1319"/>
      <c r="M178" s="1319"/>
      <c r="N178" s="196"/>
      <c r="O178" s="428"/>
      <c r="R178" s="104" t="s">
        <v>2771</v>
      </c>
      <c r="S178" s="105">
        <v>4</v>
      </c>
      <c r="T178" s="712"/>
    </row>
    <row r="179" spans="1:26" ht="4.9000000000000004" customHeight="1" x14ac:dyDescent="0.25">
      <c r="B179" s="94"/>
      <c r="C179" s="192"/>
      <c r="D179" s="199"/>
      <c r="E179" s="1326"/>
      <c r="F179" s="1326"/>
      <c r="G179" s="1326"/>
      <c r="H179" s="1326"/>
      <c r="I179" s="1326"/>
      <c r="J179" s="1326"/>
      <c r="K179" s="1326"/>
      <c r="L179" s="1326"/>
      <c r="M179" s="1326"/>
      <c r="N179" s="384"/>
      <c r="O179" s="428"/>
      <c r="T179" s="712"/>
    </row>
    <row r="180" spans="1:26" ht="12.75" customHeight="1" x14ac:dyDescent="0.25">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25">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25">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25">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25">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25">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25">
      <c r="B186" s="94"/>
      <c r="C186" s="192"/>
      <c r="D186" s="197" t="s">
        <v>45</v>
      </c>
      <c r="E186" s="201" t="str">
        <f>Translations!$B$1858</f>
        <v>Justification for use of default values (if relevant):</v>
      </c>
      <c r="F186" s="201"/>
      <c r="G186" s="201"/>
      <c r="H186" s="201"/>
      <c r="I186" s="201"/>
      <c r="J186" s="201"/>
      <c r="K186" s="1325"/>
      <c r="L186" s="1325"/>
      <c r="M186" s="1325"/>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
      <c r="A188" s="91"/>
      <c r="B188" s="94"/>
      <c r="O188" s="428"/>
      <c r="P188" s="94"/>
      <c r="Q188" s="93"/>
      <c r="R188" s="91"/>
      <c r="S188" s="91"/>
      <c r="T188" s="712"/>
      <c r="U188" s="91"/>
      <c r="V188" s="91"/>
      <c r="W188" s="91"/>
      <c r="X188" s="91"/>
      <c r="Y188" s="91"/>
      <c r="Z188" s="91"/>
    </row>
    <row r="189" spans="1:26" s="144" customFormat="1" ht="12.75" customHeight="1" thickBot="1" x14ac:dyDescent="0.3">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
      <c r="B190" s="94"/>
      <c r="C190" s="147">
        <f>C146+1</f>
        <v>5</v>
      </c>
      <c r="D190" s="944" t="str">
        <f>CONST_PurchPrecursor &amp; " " &amp; C190 &amp; ":"</f>
        <v>Purchased precursor 5:</v>
      </c>
      <c r="E190" s="144"/>
      <c r="F190" s="144"/>
      <c r="G190" s="1310" t="str">
        <f>IF(INDEX(CNTR_List_ExistPurchPrecNames,MATCH(R190,CNTR_ListPurchPrecID,0))=CONST_NA,"",INDEX(CNTR_List_ExistPurchPrecNames,MATCH(R190,CNTR_ListPurchPrecID,0)))</f>
        <v/>
      </c>
      <c r="H190" s="1311"/>
      <c r="I190" s="1311"/>
      <c r="J190" s="1311"/>
      <c r="K190" s="1312"/>
      <c r="L190" s="1313" t="str">
        <f>IF(INDEX(CNTR_List_ExistPurchPrec,MATCH(R190,CNTR_ListPurchPrecID,0))=CONST_NA,"",INDEX(CNTR_List_ExistPurchPrec,MATCH(R190,CNTR_ListPurchPrecID,0)))</f>
        <v/>
      </c>
      <c r="M190" s="1314"/>
      <c r="N190" s="1315"/>
      <c r="O190" s="428"/>
      <c r="R190" s="149" t="str">
        <f>INDEX(CNTR_ListPurchPrecID,C190)</f>
        <v>PP5</v>
      </c>
      <c r="Y190" s="104" t="s">
        <v>2748</v>
      </c>
      <c r="Z190" s="150" t="b">
        <f>AND(CNTR_HasEntriesA,G190="")</f>
        <v>0</v>
      </c>
    </row>
    <row r="191" spans="1:26" ht="26.45" customHeight="1" x14ac:dyDescent="0.25">
      <c r="B191" s="94"/>
      <c r="C191" s="144"/>
      <c r="D191" s="914"/>
      <c r="E191" s="1341" t="str">
        <f ca="1">HYPERLINK("#"&amp;ADDRESS(MATCH($S191,G_FurtherGuidance!$S:$S,0),3,,,G_FurtherGuidance!$U$2),CONST_LinkToGuidanceSheet)</f>
        <v>Please click on this link for further guidance on how to complete this section.</v>
      </c>
      <c r="F191" s="1342"/>
      <c r="G191" s="1342"/>
      <c r="H191" s="1342"/>
      <c r="I191" s="1342"/>
      <c r="J191" s="1342"/>
      <c r="K191" s="1342"/>
      <c r="L191" s="1342"/>
      <c r="M191" s="1342"/>
      <c r="N191" s="144"/>
      <c r="O191" s="428"/>
      <c r="R191" s="104" t="s">
        <v>2771</v>
      </c>
      <c r="S191" s="105">
        <v>4</v>
      </c>
      <c r="Y191" s="104"/>
    </row>
    <row r="192" spans="1:26" ht="12.75" customHeight="1" x14ac:dyDescent="0.25">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25">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25">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25">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25">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25">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25">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25">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25">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25">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25">
      <c r="A202" s="91"/>
      <c r="B202" s="94"/>
      <c r="D202" s="166"/>
      <c r="E202" s="167"/>
      <c r="O202" s="428"/>
      <c r="P202" s="94"/>
      <c r="Q202" s="93"/>
      <c r="R202" s="91"/>
      <c r="S202" s="91"/>
      <c r="T202" s="712"/>
      <c r="U202" s="91"/>
      <c r="V202" s="123"/>
      <c r="W202" s="91"/>
      <c r="X202" s="91"/>
      <c r="Y202" s="91"/>
      <c r="Z202" s="91"/>
    </row>
    <row r="203" spans="1:26" s="144" customFormat="1" ht="12.75" customHeight="1" x14ac:dyDescent="0.25">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25">
      <c r="A204" s="91"/>
      <c r="B204" s="94"/>
      <c r="D204" s="173">
        <v>1</v>
      </c>
      <c r="E204" s="174" t="str">
        <f t="shared" ref="E204:E213" si="22">IF(INDEX(CNTR_List_ExistProdProcNames,S204)=CONST_NA,"",INDEX(CNTR_List_ExistProdProcNames,S204))</f>
        <v/>
      </c>
      <c r="F204" s="175"/>
      <c r="G204" s="175"/>
      <c r="H204" s="175"/>
      <c r="I204" s="175"/>
      <c r="J204" s="176"/>
      <c r="K204" s="155" t="str">
        <f>IF(E204="","",K201)</f>
        <v/>
      </c>
      <c r="L204" s="29"/>
      <c r="O204" s="945"/>
      <c r="P204" s="94"/>
      <c r="Q204" s="93"/>
      <c r="R204" s="102" t="str">
        <f>CONST_PrecursorToGoodInput&amp;G190 &amp;"_"&amp;E204</f>
        <v>PrecToGood__</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25">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25">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25">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25">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25">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25">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25">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25">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25">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25">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25">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
      <c r="A216" s="91"/>
      <c r="B216" s="94"/>
      <c r="O216" s="428"/>
      <c r="P216" s="94"/>
      <c r="Q216" s="93"/>
      <c r="R216" s="91"/>
      <c r="S216" s="91"/>
      <c r="T216" s="712"/>
      <c r="U216" s="91"/>
      <c r="V216" s="91"/>
      <c r="W216" s="91"/>
      <c r="X216" s="91"/>
      <c r="Y216" s="91"/>
      <c r="Z216" s="91"/>
    </row>
    <row r="217" spans="1:26" ht="12.75" customHeight="1" x14ac:dyDescent="0.25">
      <c r="B217" s="94"/>
      <c r="C217" s="187"/>
      <c r="D217" s="188"/>
      <c r="E217" s="189"/>
      <c r="F217" s="190"/>
      <c r="G217" s="190"/>
      <c r="H217" s="190"/>
      <c r="I217" s="190"/>
      <c r="J217" s="190"/>
      <c r="K217" s="190"/>
      <c r="L217" s="190"/>
      <c r="M217" s="190"/>
      <c r="N217" s="191"/>
      <c r="O217" s="428"/>
      <c r="T217" s="712"/>
    </row>
    <row r="218" spans="1:26" ht="15" customHeight="1" x14ac:dyDescent="0.25">
      <c r="B218" s="94"/>
      <c r="C218" s="192"/>
      <c r="D218" s="193" t="str">
        <f>Translations!$B$279</f>
        <v>Specific embedded emissions:</v>
      </c>
      <c r="E218" s="194"/>
      <c r="F218" s="195"/>
      <c r="G218" s="195"/>
      <c r="H218" s="195"/>
      <c r="I218" s="195"/>
      <c r="J218" s="1327" t="str">
        <f>IF(G190="","",G190)</f>
        <v/>
      </c>
      <c r="K218" s="1327"/>
      <c r="L218" s="1327"/>
      <c r="M218" s="1327"/>
      <c r="N218" s="196"/>
      <c r="O218" s="428"/>
      <c r="T218" s="712"/>
    </row>
    <row r="219" spans="1:26" ht="5.0999999999999996" customHeight="1" x14ac:dyDescent="0.25">
      <c r="B219" s="94"/>
      <c r="C219" s="192"/>
      <c r="D219" s="197"/>
      <c r="E219" s="198"/>
      <c r="F219" s="195"/>
      <c r="G219" s="195"/>
      <c r="H219" s="195"/>
      <c r="I219" s="195"/>
      <c r="J219" s="195"/>
      <c r="K219" s="195"/>
      <c r="L219" s="195"/>
      <c r="M219" s="195"/>
      <c r="N219" s="196"/>
      <c r="O219" s="428"/>
      <c r="T219" s="712"/>
    </row>
    <row r="220" spans="1:26" ht="12.75" customHeight="1" x14ac:dyDescent="0.25">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000000000000004" customHeight="1" x14ac:dyDescent="0.25">
      <c r="B221" s="94"/>
      <c r="C221" s="192"/>
      <c r="D221" s="199"/>
      <c r="E221" s="1326"/>
      <c r="F221" s="1326"/>
      <c r="G221" s="1326"/>
      <c r="H221" s="1326"/>
      <c r="I221" s="1326"/>
      <c r="J221" s="1326"/>
      <c r="K221" s="1326"/>
      <c r="L221" s="1326"/>
      <c r="M221" s="1326"/>
      <c r="N221" s="196"/>
      <c r="O221" s="428"/>
      <c r="T221" s="712"/>
    </row>
    <row r="222" spans="1:26" ht="13.15" customHeight="1" x14ac:dyDescent="0.25">
      <c r="B222" s="94"/>
      <c r="C222" s="192"/>
      <c r="D222" s="199"/>
      <c r="E222" s="1318" t="str">
        <f ca="1">HYPERLINK("#"&amp;ADDRESS(MATCH($S222,G_FurtherGuidance!$S:$S,0),3,,,G_FurtherGuidance!$U$2),CONST_LinkToGuidanceSheet)</f>
        <v>Please click on this link for further guidance on how to complete this section.</v>
      </c>
      <c r="F222" s="1319"/>
      <c r="G222" s="1319"/>
      <c r="H222" s="1319"/>
      <c r="I222" s="1319"/>
      <c r="J222" s="1319"/>
      <c r="K222" s="1319"/>
      <c r="L222" s="1319"/>
      <c r="M222" s="1319"/>
      <c r="N222" s="196"/>
      <c r="O222" s="428"/>
      <c r="R222" s="104" t="s">
        <v>2771</v>
      </c>
      <c r="S222" s="105">
        <v>4</v>
      </c>
      <c r="T222" s="712"/>
    </row>
    <row r="223" spans="1:26" ht="4.9000000000000004" customHeight="1" x14ac:dyDescent="0.25">
      <c r="B223" s="94"/>
      <c r="C223" s="192"/>
      <c r="D223" s="199"/>
      <c r="E223" s="1326"/>
      <c r="F223" s="1326"/>
      <c r="G223" s="1326"/>
      <c r="H223" s="1326"/>
      <c r="I223" s="1326"/>
      <c r="J223" s="1326"/>
      <c r="K223" s="1326"/>
      <c r="L223" s="1326"/>
      <c r="M223" s="1326"/>
      <c r="N223" s="384"/>
      <c r="O223" s="428"/>
      <c r="T223" s="712"/>
    </row>
    <row r="224" spans="1:26" ht="12.75" customHeight="1" x14ac:dyDescent="0.25">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25">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25">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25">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25">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25">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25">
      <c r="B230" s="94"/>
      <c r="C230" s="192"/>
      <c r="D230" s="197" t="s">
        <v>45</v>
      </c>
      <c r="E230" s="201" t="str">
        <f>Translations!$B$1858</f>
        <v>Justification for use of default values (if relevant):</v>
      </c>
      <c r="F230" s="201"/>
      <c r="G230" s="201"/>
      <c r="H230" s="201"/>
      <c r="I230" s="201"/>
      <c r="J230" s="201"/>
      <c r="K230" s="1325"/>
      <c r="L230" s="1325"/>
      <c r="M230" s="1325"/>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
      <c r="A232" s="91"/>
      <c r="B232" s="94"/>
      <c r="O232" s="428"/>
      <c r="P232" s="94"/>
      <c r="Q232" s="93"/>
      <c r="R232" s="91"/>
      <c r="S232" s="91"/>
      <c r="T232" s="712"/>
      <c r="U232" s="91"/>
      <c r="V232" s="91"/>
      <c r="W232" s="91"/>
      <c r="X232" s="91"/>
      <c r="Y232" s="91"/>
      <c r="Z232" s="91"/>
    </row>
    <row r="233" spans="1:26" s="144" customFormat="1" ht="12.75" customHeight="1" thickBot="1" x14ac:dyDescent="0.3">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
      <c r="B234" s="94"/>
      <c r="C234" s="147">
        <f>C190+1</f>
        <v>6</v>
      </c>
      <c r="D234" s="944" t="str">
        <f>CONST_PurchPrecursor &amp; " " &amp; C234 &amp; ":"</f>
        <v>Purchased precursor 6:</v>
      </c>
      <c r="E234" s="144"/>
      <c r="F234" s="144"/>
      <c r="G234" s="1310" t="str">
        <f>IF(INDEX(CNTR_List_ExistPurchPrecNames,MATCH(R234,CNTR_ListPurchPrecID,0))=CONST_NA,"",INDEX(CNTR_List_ExistPurchPrecNames,MATCH(R234,CNTR_ListPurchPrecID,0)))</f>
        <v/>
      </c>
      <c r="H234" s="1311"/>
      <c r="I234" s="1311"/>
      <c r="J234" s="1311"/>
      <c r="K234" s="1312"/>
      <c r="L234" s="1313" t="str">
        <f>IF(INDEX(CNTR_List_ExistPurchPrec,MATCH(R234,CNTR_ListPurchPrecID,0))=CONST_NA,"",INDEX(CNTR_List_ExistPurchPrec,MATCH(R234,CNTR_ListPurchPrecID,0)))</f>
        <v/>
      </c>
      <c r="M234" s="1314"/>
      <c r="N234" s="1315"/>
      <c r="O234" s="428"/>
      <c r="R234" s="149" t="str">
        <f>INDEX(CNTR_ListPurchPrecID,C234)</f>
        <v>PP6</v>
      </c>
      <c r="Y234" s="104" t="s">
        <v>2748</v>
      </c>
      <c r="Z234" s="150" t="b">
        <f>AND(CNTR_HasEntriesA,G234="")</f>
        <v>0</v>
      </c>
    </row>
    <row r="235" spans="1:26" ht="26.45" customHeight="1" x14ac:dyDescent="0.25">
      <c r="B235" s="94"/>
      <c r="C235" s="144"/>
      <c r="D235" s="914"/>
      <c r="E235" s="1341" t="str">
        <f ca="1">HYPERLINK("#"&amp;ADDRESS(MATCH($S235,G_FurtherGuidance!$S:$S,0),3,,,G_FurtherGuidance!$U$2),CONST_LinkToGuidanceSheet)</f>
        <v>Please click on this link for further guidance on how to complete this section.</v>
      </c>
      <c r="F235" s="1342"/>
      <c r="G235" s="1342"/>
      <c r="H235" s="1342"/>
      <c r="I235" s="1342"/>
      <c r="J235" s="1342"/>
      <c r="K235" s="1342"/>
      <c r="L235" s="1342"/>
      <c r="M235" s="1342"/>
      <c r="N235" s="144"/>
      <c r="O235" s="428"/>
      <c r="R235" s="104" t="s">
        <v>2771</v>
      </c>
      <c r="S235" s="105">
        <v>4</v>
      </c>
      <c r="Y235" s="104"/>
    </row>
    <row r="236" spans="1:26" ht="12.75" customHeight="1" x14ac:dyDescent="0.25">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25">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25">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25">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25">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25">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25">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25">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25">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25">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25">
      <c r="A246" s="91"/>
      <c r="B246" s="94"/>
      <c r="D246" s="166"/>
      <c r="E246" s="167"/>
      <c r="O246" s="428"/>
      <c r="P246" s="94"/>
      <c r="Q246" s="93"/>
      <c r="R246" s="91"/>
      <c r="S246" s="91"/>
      <c r="T246" s="712"/>
      <c r="U246" s="91"/>
      <c r="V246" s="123"/>
      <c r="W246" s="91"/>
      <c r="X246" s="91"/>
      <c r="Y246" s="91"/>
      <c r="Z246" s="91"/>
    </row>
    <row r="247" spans="1:26" s="144" customFormat="1" ht="12.75" customHeight="1" x14ac:dyDescent="0.25">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25">
      <c r="A248" s="91"/>
      <c r="B248" s="94"/>
      <c r="D248" s="173">
        <v>1</v>
      </c>
      <c r="E248" s="174" t="str">
        <f t="shared" ref="E248:E257" si="27">IF(INDEX(CNTR_List_ExistProdProcNames,S248)=CONST_NA,"",INDEX(CNTR_List_ExistProdProcNames,S248))</f>
        <v/>
      </c>
      <c r="F248" s="175"/>
      <c r="G248" s="175"/>
      <c r="H248" s="175"/>
      <c r="I248" s="175"/>
      <c r="J248" s="176"/>
      <c r="K248" s="155" t="str">
        <f>IF(E248="","",K245)</f>
        <v/>
      </c>
      <c r="L248" s="29"/>
      <c r="O248" s="945"/>
      <c r="P248" s="94"/>
      <c r="Q248" s="93"/>
      <c r="R248" s="102" t="str">
        <f>CONST_PrecursorToGoodInput&amp;G234 &amp;"_"&amp;E248</f>
        <v>PrecToGood__</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25">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25">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25">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25">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25">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25">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25">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25">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25">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25">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25">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
      <c r="A260" s="91"/>
      <c r="B260" s="94"/>
      <c r="O260" s="428"/>
      <c r="P260" s="94"/>
      <c r="Q260" s="93"/>
      <c r="R260" s="91"/>
      <c r="S260" s="91"/>
      <c r="T260" s="712"/>
      <c r="U260" s="91"/>
      <c r="V260" s="91"/>
      <c r="W260" s="91"/>
      <c r="X260" s="91"/>
      <c r="Y260" s="91"/>
      <c r="Z260" s="91"/>
    </row>
    <row r="261" spans="1:26" ht="12.75" customHeight="1" x14ac:dyDescent="0.25">
      <c r="B261" s="94"/>
      <c r="C261" s="187"/>
      <c r="D261" s="188"/>
      <c r="E261" s="189"/>
      <c r="F261" s="190"/>
      <c r="G261" s="190"/>
      <c r="H261" s="190"/>
      <c r="I261" s="190"/>
      <c r="J261" s="190"/>
      <c r="K261" s="190"/>
      <c r="L261" s="190"/>
      <c r="M261" s="190"/>
      <c r="N261" s="191"/>
      <c r="O261" s="428"/>
      <c r="T261" s="712"/>
    </row>
    <row r="262" spans="1:26" ht="15" customHeight="1" x14ac:dyDescent="0.25">
      <c r="B262" s="94"/>
      <c r="C262" s="192"/>
      <c r="D262" s="193" t="str">
        <f>Translations!$B$279</f>
        <v>Specific embedded emissions:</v>
      </c>
      <c r="E262" s="194"/>
      <c r="F262" s="195"/>
      <c r="G262" s="195"/>
      <c r="H262" s="195"/>
      <c r="I262" s="195"/>
      <c r="J262" s="1327" t="str">
        <f>IF(G234="","",G234)</f>
        <v/>
      </c>
      <c r="K262" s="1327"/>
      <c r="L262" s="1327"/>
      <c r="M262" s="1327"/>
      <c r="N262" s="196"/>
      <c r="O262" s="428"/>
      <c r="T262" s="712"/>
    </row>
    <row r="263" spans="1:26" ht="5.0999999999999996" customHeight="1" x14ac:dyDescent="0.25">
      <c r="B263" s="94"/>
      <c r="C263" s="192"/>
      <c r="D263" s="197"/>
      <c r="E263" s="198"/>
      <c r="F263" s="195"/>
      <c r="G263" s="195"/>
      <c r="H263" s="195"/>
      <c r="I263" s="195"/>
      <c r="J263" s="195"/>
      <c r="K263" s="195"/>
      <c r="L263" s="195"/>
      <c r="M263" s="195"/>
      <c r="N263" s="196"/>
      <c r="O263" s="428"/>
      <c r="T263" s="712"/>
    </row>
    <row r="264" spans="1:26" ht="12.75" customHeight="1" x14ac:dyDescent="0.25">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000000000000004" customHeight="1" x14ac:dyDescent="0.25">
      <c r="B265" s="94"/>
      <c r="C265" s="192"/>
      <c r="D265" s="199"/>
      <c r="E265" s="1326"/>
      <c r="F265" s="1326"/>
      <c r="G265" s="1326"/>
      <c r="H265" s="1326"/>
      <c r="I265" s="1326"/>
      <c r="J265" s="1326"/>
      <c r="K265" s="1326"/>
      <c r="L265" s="1326"/>
      <c r="M265" s="1326"/>
      <c r="N265" s="196"/>
      <c r="O265" s="428"/>
      <c r="T265" s="712"/>
    </row>
    <row r="266" spans="1:26" ht="13.15" customHeight="1" x14ac:dyDescent="0.25">
      <c r="B266" s="94"/>
      <c r="C266" s="192"/>
      <c r="D266" s="199"/>
      <c r="E266" s="1318" t="str">
        <f ca="1">HYPERLINK("#"&amp;ADDRESS(MATCH($S266,G_FurtherGuidance!$S:$S,0),3,,,G_FurtherGuidance!$U$2),CONST_LinkToGuidanceSheet)</f>
        <v>Please click on this link for further guidance on how to complete this section.</v>
      </c>
      <c r="F266" s="1319"/>
      <c r="G266" s="1319"/>
      <c r="H266" s="1319"/>
      <c r="I266" s="1319"/>
      <c r="J266" s="1319"/>
      <c r="K266" s="1319"/>
      <c r="L266" s="1319"/>
      <c r="M266" s="1319"/>
      <c r="N266" s="196"/>
      <c r="O266" s="428"/>
      <c r="R266" s="104" t="s">
        <v>2771</v>
      </c>
      <c r="S266" s="105">
        <v>4</v>
      </c>
      <c r="T266" s="712"/>
    </row>
    <row r="267" spans="1:26" ht="4.9000000000000004" customHeight="1" x14ac:dyDescent="0.25">
      <c r="B267" s="94"/>
      <c r="C267" s="192"/>
      <c r="D267" s="199"/>
      <c r="E267" s="1326"/>
      <c r="F267" s="1326"/>
      <c r="G267" s="1326"/>
      <c r="H267" s="1326"/>
      <c r="I267" s="1326"/>
      <c r="J267" s="1326"/>
      <c r="K267" s="1326"/>
      <c r="L267" s="1326"/>
      <c r="M267" s="1326"/>
      <c r="N267" s="384"/>
      <c r="O267" s="428"/>
      <c r="T267" s="712"/>
    </row>
    <row r="268" spans="1:26" ht="12.75" customHeight="1" x14ac:dyDescent="0.25">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25">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25">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25">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25">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25">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25">
      <c r="B274" s="94"/>
      <c r="C274" s="192"/>
      <c r="D274" s="197" t="s">
        <v>45</v>
      </c>
      <c r="E274" s="201" t="str">
        <f>Translations!$B$1858</f>
        <v>Justification for use of default values (if relevant):</v>
      </c>
      <c r="F274" s="201"/>
      <c r="G274" s="201"/>
      <c r="H274" s="201"/>
      <c r="I274" s="201"/>
      <c r="J274" s="201"/>
      <c r="K274" s="1325"/>
      <c r="L274" s="1325"/>
      <c r="M274" s="1325"/>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
      <c r="A276" s="91"/>
      <c r="B276" s="94"/>
      <c r="O276" s="428"/>
      <c r="P276" s="94"/>
      <c r="Q276" s="93"/>
      <c r="R276" s="91"/>
      <c r="S276" s="91"/>
      <c r="T276" s="712"/>
      <c r="U276" s="91"/>
      <c r="V276" s="91"/>
      <c r="W276" s="91"/>
      <c r="X276" s="91"/>
      <c r="Y276" s="91"/>
      <c r="Z276" s="91"/>
    </row>
    <row r="277" spans="1:26" s="144" customFormat="1" ht="12.75" customHeight="1" thickBot="1" x14ac:dyDescent="0.3">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
      <c r="B278" s="94"/>
      <c r="C278" s="147">
        <f>C234+1</f>
        <v>7</v>
      </c>
      <c r="D278" s="944" t="str">
        <f>CONST_PurchPrecursor &amp; " " &amp; C278 &amp; ":"</f>
        <v>Purchased precursor 7:</v>
      </c>
      <c r="E278" s="144"/>
      <c r="F278" s="144"/>
      <c r="G278" s="1310" t="str">
        <f>IF(INDEX(CNTR_List_ExistPurchPrecNames,MATCH(R278,CNTR_ListPurchPrecID,0))=CONST_NA,"",INDEX(CNTR_List_ExistPurchPrecNames,MATCH(R278,CNTR_ListPurchPrecID,0)))</f>
        <v/>
      </c>
      <c r="H278" s="1311"/>
      <c r="I278" s="1311"/>
      <c r="J278" s="1311"/>
      <c r="K278" s="1312"/>
      <c r="L278" s="1313" t="str">
        <f>IF(INDEX(CNTR_List_ExistPurchPrec,MATCH(R278,CNTR_ListPurchPrecID,0))=CONST_NA,"",INDEX(CNTR_List_ExistPurchPrec,MATCH(R278,CNTR_ListPurchPrecID,0)))</f>
        <v/>
      </c>
      <c r="M278" s="1314"/>
      <c r="N278" s="1315"/>
      <c r="O278" s="428"/>
      <c r="R278" s="149" t="str">
        <f>INDEX(CNTR_ListPurchPrecID,C278)</f>
        <v>PP7</v>
      </c>
      <c r="Y278" s="104" t="s">
        <v>2748</v>
      </c>
      <c r="Z278" s="150" t="b">
        <f>AND(CNTR_HasEntriesA,G278="")</f>
        <v>0</v>
      </c>
    </row>
    <row r="279" spans="1:26" ht="26.45" customHeight="1" x14ac:dyDescent="0.25">
      <c r="B279" s="94"/>
      <c r="C279" s="144"/>
      <c r="D279" s="914"/>
      <c r="E279" s="1341" t="str">
        <f ca="1">HYPERLINK("#"&amp;ADDRESS(MATCH($S279,G_FurtherGuidance!$S:$S,0),3,,,G_FurtherGuidance!$U$2),CONST_LinkToGuidanceSheet)</f>
        <v>Please click on this link for further guidance on how to complete this section.</v>
      </c>
      <c r="F279" s="1342"/>
      <c r="G279" s="1342"/>
      <c r="H279" s="1342"/>
      <c r="I279" s="1342"/>
      <c r="J279" s="1342"/>
      <c r="K279" s="1342"/>
      <c r="L279" s="1342"/>
      <c r="M279" s="1342"/>
      <c r="N279" s="144"/>
      <c r="O279" s="428"/>
      <c r="R279" s="104" t="s">
        <v>2771</v>
      </c>
      <c r="S279" s="105">
        <v>4</v>
      </c>
      <c r="Y279" s="104"/>
    </row>
    <row r="280" spans="1:26" ht="12.75" customHeight="1" x14ac:dyDescent="0.25">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25">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25">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25">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25">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25">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25">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25">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25">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25">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25">
      <c r="A290" s="91"/>
      <c r="B290" s="94"/>
      <c r="D290" s="166"/>
      <c r="E290" s="167"/>
      <c r="O290" s="428"/>
      <c r="P290" s="94"/>
      <c r="Q290" s="93"/>
      <c r="R290" s="91"/>
      <c r="S290" s="91"/>
      <c r="T290" s="712"/>
      <c r="U290" s="91"/>
      <c r="V290" s="123"/>
      <c r="W290" s="91"/>
      <c r="X290" s="91"/>
      <c r="Y290" s="91"/>
      <c r="Z290" s="91"/>
    </row>
    <row r="291" spans="1:26" s="144" customFormat="1" ht="12.75" customHeight="1" x14ac:dyDescent="0.25">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25">
      <c r="A292" s="91"/>
      <c r="B292" s="94"/>
      <c r="D292" s="173">
        <v>1</v>
      </c>
      <c r="E292" s="174" t="str">
        <f t="shared" ref="E292:E301" si="32">IF(INDEX(CNTR_List_ExistProdProcNames,S292)=CONST_NA,"",INDEX(CNTR_List_ExistProdProcNames,S292))</f>
        <v/>
      </c>
      <c r="F292" s="175"/>
      <c r="G292" s="175"/>
      <c r="H292" s="175"/>
      <c r="I292" s="175"/>
      <c r="J292" s="176"/>
      <c r="K292" s="155" t="str">
        <f>IF(E292="","",K289)</f>
        <v/>
      </c>
      <c r="L292" s="29"/>
      <c r="O292" s="945"/>
      <c r="P292" s="94"/>
      <c r="Q292" s="93"/>
      <c r="R292" s="102" t="str">
        <f>CONST_PrecursorToGoodInput&amp;G278 &amp;"_"&amp;E292</f>
        <v>PrecToGood__</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25">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25">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25">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25">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25">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25">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25">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25">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25">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25">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25">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
      <c r="A304" s="91"/>
      <c r="B304" s="94"/>
      <c r="O304" s="428"/>
      <c r="P304" s="94"/>
      <c r="Q304" s="93"/>
      <c r="R304" s="91"/>
      <c r="S304" s="91"/>
      <c r="T304" s="712"/>
      <c r="U304" s="91"/>
      <c r="V304" s="91"/>
      <c r="W304" s="91"/>
      <c r="X304" s="91"/>
      <c r="Y304" s="91"/>
      <c r="Z304" s="91"/>
    </row>
    <row r="305" spans="1:26" ht="12.75" customHeight="1" x14ac:dyDescent="0.25">
      <c r="B305" s="94"/>
      <c r="C305" s="187"/>
      <c r="D305" s="188"/>
      <c r="E305" s="189"/>
      <c r="F305" s="190"/>
      <c r="G305" s="190"/>
      <c r="H305" s="190"/>
      <c r="I305" s="190"/>
      <c r="J305" s="190"/>
      <c r="K305" s="190"/>
      <c r="L305" s="190"/>
      <c r="M305" s="190"/>
      <c r="N305" s="191"/>
      <c r="O305" s="428"/>
      <c r="T305" s="712"/>
    </row>
    <row r="306" spans="1:26" ht="15" customHeight="1" x14ac:dyDescent="0.25">
      <c r="B306" s="94"/>
      <c r="C306" s="192"/>
      <c r="D306" s="193" t="str">
        <f>Translations!$B$279</f>
        <v>Specific embedded emissions:</v>
      </c>
      <c r="E306" s="194"/>
      <c r="F306" s="195"/>
      <c r="G306" s="195"/>
      <c r="H306" s="195"/>
      <c r="I306" s="195"/>
      <c r="J306" s="1327" t="str">
        <f>IF(G278="","",G278)</f>
        <v/>
      </c>
      <c r="K306" s="1327"/>
      <c r="L306" s="1327"/>
      <c r="M306" s="1327"/>
      <c r="N306" s="196"/>
      <c r="O306" s="428"/>
      <c r="T306" s="712"/>
    </row>
    <row r="307" spans="1:26" ht="5.0999999999999996" customHeight="1" x14ac:dyDescent="0.25">
      <c r="B307" s="94"/>
      <c r="C307" s="192"/>
      <c r="D307" s="197"/>
      <c r="E307" s="198"/>
      <c r="F307" s="195"/>
      <c r="G307" s="195"/>
      <c r="H307" s="195"/>
      <c r="I307" s="195"/>
      <c r="J307" s="195"/>
      <c r="K307" s="195"/>
      <c r="L307" s="195"/>
      <c r="M307" s="195"/>
      <c r="N307" s="196"/>
      <c r="O307" s="428"/>
      <c r="T307" s="712"/>
    </row>
    <row r="308" spans="1:26" ht="12.75" customHeight="1" x14ac:dyDescent="0.25">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000000000000004" customHeight="1" x14ac:dyDescent="0.25">
      <c r="B309" s="94"/>
      <c r="C309" s="192"/>
      <c r="D309" s="199"/>
      <c r="E309" s="1326"/>
      <c r="F309" s="1326"/>
      <c r="G309" s="1326"/>
      <c r="H309" s="1326"/>
      <c r="I309" s="1326"/>
      <c r="J309" s="1326"/>
      <c r="K309" s="1326"/>
      <c r="L309" s="1326"/>
      <c r="M309" s="1326"/>
      <c r="N309" s="196"/>
      <c r="O309" s="428"/>
      <c r="T309" s="712"/>
    </row>
    <row r="310" spans="1:26" ht="13.15" customHeight="1" x14ac:dyDescent="0.25">
      <c r="B310" s="94"/>
      <c r="C310" s="192"/>
      <c r="D310" s="199"/>
      <c r="E310" s="1318" t="str">
        <f ca="1">HYPERLINK("#"&amp;ADDRESS(MATCH($S310,G_FurtherGuidance!$S:$S,0),3,,,G_FurtherGuidance!$U$2),CONST_LinkToGuidanceSheet)</f>
        <v>Please click on this link for further guidance on how to complete this section.</v>
      </c>
      <c r="F310" s="1319"/>
      <c r="G310" s="1319"/>
      <c r="H310" s="1319"/>
      <c r="I310" s="1319"/>
      <c r="J310" s="1319"/>
      <c r="K310" s="1319"/>
      <c r="L310" s="1319"/>
      <c r="M310" s="1319"/>
      <c r="N310" s="196"/>
      <c r="O310" s="428"/>
      <c r="R310" s="104" t="s">
        <v>2771</v>
      </c>
      <c r="S310" s="105">
        <v>4</v>
      </c>
      <c r="T310" s="712"/>
    </row>
    <row r="311" spans="1:26" ht="4.9000000000000004" customHeight="1" x14ac:dyDescent="0.25">
      <c r="B311" s="94"/>
      <c r="C311" s="192"/>
      <c r="D311" s="199"/>
      <c r="E311" s="1326"/>
      <c r="F311" s="1326"/>
      <c r="G311" s="1326"/>
      <c r="H311" s="1326"/>
      <c r="I311" s="1326"/>
      <c r="J311" s="1326"/>
      <c r="K311" s="1326"/>
      <c r="L311" s="1326"/>
      <c r="M311" s="1326"/>
      <c r="N311" s="384"/>
      <c r="O311" s="428"/>
      <c r="T311" s="712"/>
    </row>
    <row r="312" spans="1:26" ht="12.75" customHeight="1" x14ac:dyDescent="0.25">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25">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25">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25">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25">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25">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25">
      <c r="B318" s="94"/>
      <c r="C318" s="192"/>
      <c r="D318" s="197" t="s">
        <v>45</v>
      </c>
      <c r="E318" s="201" t="str">
        <f>Translations!$B$1858</f>
        <v>Justification for use of default values (if relevant):</v>
      </c>
      <c r="F318" s="201"/>
      <c r="G318" s="201"/>
      <c r="H318" s="201"/>
      <c r="I318" s="201"/>
      <c r="J318" s="201"/>
      <c r="K318" s="1325"/>
      <c r="L318" s="1325"/>
      <c r="M318" s="1325"/>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
      <c r="A320" s="91"/>
      <c r="B320" s="94"/>
      <c r="O320" s="428"/>
      <c r="P320" s="94"/>
      <c r="Q320" s="93"/>
      <c r="R320" s="91"/>
      <c r="S320" s="91"/>
      <c r="T320" s="712"/>
      <c r="U320" s="91"/>
      <c r="V320" s="91"/>
      <c r="W320" s="91"/>
      <c r="X320" s="91"/>
      <c r="Y320" s="91"/>
      <c r="Z320" s="91"/>
    </row>
    <row r="321" spans="1:26" s="144" customFormat="1" ht="12.75" customHeight="1" thickBot="1" x14ac:dyDescent="0.3">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
      <c r="B322" s="94"/>
      <c r="C322" s="147">
        <f>C278+1</f>
        <v>8</v>
      </c>
      <c r="D322" s="944" t="str">
        <f>CONST_PurchPrecursor &amp; " " &amp; C322 &amp; ":"</f>
        <v>Purchased precursor 8:</v>
      </c>
      <c r="E322" s="144"/>
      <c r="F322" s="144"/>
      <c r="G322" s="1310" t="str">
        <f>IF(INDEX(CNTR_List_ExistPurchPrecNames,MATCH(R322,CNTR_ListPurchPrecID,0))=CONST_NA,"",INDEX(CNTR_List_ExistPurchPrecNames,MATCH(R322,CNTR_ListPurchPrecID,0)))</f>
        <v/>
      </c>
      <c r="H322" s="1311"/>
      <c r="I322" s="1311"/>
      <c r="J322" s="1311"/>
      <c r="K322" s="1312"/>
      <c r="L322" s="1313" t="str">
        <f>IF(INDEX(CNTR_List_ExistPurchPrec,MATCH(R322,CNTR_ListPurchPrecID,0))=CONST_NA,"",INDEX(CNTR_List_ExistPurchPrec,MATCH(R322,CNTR_ListPurchPrecID,0)))</f>
        <v/>
      </c>
      <c r="M322" s="1314"/>
      <c r="N322" s="1315"/>
      <c r="O322" s="428"/>
      <c r="R322" s="149" t="str">
        <f>INDEX(CNTR_ListPurchPrecID,C322)</f>
        <v>PP8</v>
      </c>
      <c r="Y322" s="104" t="s">
        <v>2748</v>
      </c>
      <c r="Z322" s="150" t="b">
        <f>AND(CNTR_HasEntriesA,G322="")</f>
        <v>0</v>
      </c>
    </row>
    <row r="323" spans="1:26" ht="26.45" customHeight="1" x14ac:dyDescent="0.25">
      <c r="B323" s="94"/>
      <c r="C323" s="144"/>
      <c r="D323" s="914"/>
      <c r="E323" s="1341" t="str">
        <f ca="1">HYPERLINK("#"&amp;ADDRESS(MATCH($S323,G_FurtherGuidance!$S:$S,0),3,,,G_FurtherGuidance!$U$2),CONST_LinkToGuidanceSheet)</f>
        <v>Please click on this link for further guidance on how to complete this section.</v>
      </c>
      <c r="F323" s="1342"/>
      <c r="G323" s="1342"/>
      <c r="H323" s="1342"/>
      <c r="I323" s="1342"/>
      <c r="J323" s="1342"/>
      <c r="K323" s="1342"/>
      <c r="L323" s="1342"/>
      <c r="M323" s="1342"/>
      <c r="N323" s="144"/>
      <c r="O323" s="428"/>
      <c r="R323" s="104" t="s">
        <v>2771</v>
      </c>
      <c r="S323" s="105">
        <v>4</v>
      </c>
      <c r="Y323" s="104"/>
    </row>
    <row r="324" spans="1:26" ht="12.75" customHeight="1" x14ac:dyDescent="0.25">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25">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25">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25">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25">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25">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25">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25">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25">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25">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25">
      <c r="A334" s="91"/>
      <c r="B334" s="94"/>
      <c r="D334" s="166"/>
      <c r="E334" s="167"/>
      <c r="O334" s="428"/>
      <c r="P334" s="94"/>
      <c r="Q334" s="93"/>
      <c r="R334" s="91"/>
      <c r="S334" s="91"/>
      <c r="T334" s="712"/>
      <c r="U334" s="91"/>
      <c r="V334" s="123"/>
      <c r="W334" s="91"/>
      <c r="X334" s="91"/>
      <c r="Y334" s="91"/>
      <c r="Z334" s="91"/>
    </row>
    <row r="335" spans="1:26" s="144" customFormat="1" ht="12.75" customHeight="1" x14ac:dyDescent="0.25">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25">
      <c r="A336" s="91"/>
      <c r="B336" s="94"/>
      <c r="D336" s="173">
        <v>1</v>
      </c>
      <c r="E336" s="174" t="str">
        <f t="shared" ref="E336:E345" si="37">IF(INDEX(CNTR_List_ExistProdProcNames,S336)=CONST_NA,"",INDEX(CNTR_List_ExistProdProcNames,S336))</f>
        <v/>
      </c>
      <c r="F336" s="175"/>
      <c r="G336" s="175"/>
      <c r="H336" s="175"/>
      <c r="I336" s="175"/>
      <c r="J336" s="176"/>
      <c r="K336" s="155" t="str">
        <f>IF(E336="","",K333)</f>
        <v/>
      </c>
      <c r="L336" s="29"/>
      <c r="O336" s="945"/>
      <c r="P336" s="94"/>
      <c r="Q336" s="93"/>
      <c r="R336" s="102" t="str">
        <f>CONST_PrecursorToGoodInput&amp;G322 &amp;"_"&amp;E336</f>
        <v>PrecToGood__</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25">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25">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25">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25">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25">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25">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25">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25">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25">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25">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25">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
      <c r="A348" s="91"/>
      <c r="B348" s="94"/>
      <c r="O348" s="428"/>
      <c r="P348" s="94"/>
      <c r="Q348" s="93"/>
      <c r="R348" s="91"/>
      <c r="S348" s="91"/>
      <c r="T348" s="712"/>
      <c r="U348" s="91"/>
      <c r="V348" s="91"/>
      <c r="W348" s="91"/>
      <c r="X348" s="91"/>
      <c r="Y348" s="91"/>
      <c r="Z348" s="91"/>
    </row>
    <row r="349" spans="1:26" ht="12.75" customHeight="1" x14ac:dyDescent="0.25">
      <c r="B349" s="94"/>
      <c r="C349" s="187"/>
      <c r="D349" s="188"/>
      <c r="E349" s="189"/>
      <c r="F349" s="190"/>
      <c r="G349" s="190"/>
      <c r="H349" s="190"/>
      <c r="I349" s="190"/>
      <c r="J349" s="190"/>
      <c r="K349" s="190"/>
      <c r="L349" s="190"/>
      <c r="M349" s="190"/>
      <c r="N349" s="191"/>
      <c r="O349" s="428"/>
      <c r="T349" s="712"/>
    </row>
    <row r="350" spans="1:26" ht="15" customHeight="1" x14ac:dyDescent="0.25">
      <c r="B350" s="94"/>
      <c r="C350" s="192"/>
      <c r="D350" s="193" t="str">
        <f>Translations!$B$279</f>
        <v>Specific embedded emissions:</v>
      </c>
      <c r="E350" s="194"/>
      <c r="F350" s="195"/>
      <c r="G350" s="195"/>
      <c r="H350" s="195"/>
      <c r="I350" s="195"/>
      <c r="J350" s="1327" t="str">
        <f>IF(G322="","",G322)</f>
        <v/>
      </c>
      <c r="K350" s="1327"/>
      <c r="L350" s="1327"/>
      <c r="M350" s="1327"/>
      <c r="N350" s="196"/>
      <c r="O350" s="428"/>
      <c r="T350" s="712"/>
    </row>
    <row r="351" spans="1:26" ht="5.0999999999999996" customHeight="1" x14ac:dyDescent="0.25">
      <c r="B351" s="94"/>
      <c r="C351" s="192"/>
      <c r="D351" s="197"/>
      <c r="E351" s="198"/>
      <c r="F351" s="195"/>
      <c r="G351" s="195"/>
      <c r="H351" s="195"/>
      <c r="I351" s="195"/>
      <c r="J351" s="195"/>
      <c r="K351" s="195"/>
      <c r="L351" s="195"/>
      <c r="M351" s="195"/>
      <c r="N351" s="196"/>
      <c r="O351" s="428"/>
      <c r="T351" s="712"/>
    </row>
    <row r="352" spans="1:26" ht="12.75" customHeight="1" x14ac:dyDescent="0.25">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000000000000004" customHeight="1" x14ac:dyDescent="0.25">
      <c r="B353" s="94"/>
      <c r="C353" s="192"/>
      <c r="D353" s="199"/>
      <c r="E353" s="1326"/>
      <c r="F353" s="1326"/>
      <c r="G353" s="1326"/>
      <c r="H353" s="1326"/>
      <c r="I353" s="1326"/>
      <c r="J353" s="1326"/>
      <c r="K353" s="1326"/>
      <c r="L353" s="1326"/>
      <c r="M353" s="1326"/>
      <c r="N353" s="196"/>
      <c r="O353" s="428"/>
      <c r="T353" s="712"/>
    </row>
    <row r="354" spans="1:26" ht="13.15" customHeight="1" x14ac:dyDescent="0.25">
      <c r="B354" s="94"/>
      <c r="C354" s="192"/>
      <c r="D354" s="199"/>
      <c r="E354" s="1318" t="str">
        <f ca="1">HYPERLINK("#"&amp;ADDRESS(MATCH($S354,G_FurtherGuidance!$S:$S,0),3,,,G_FurtherGuidance!$U$2),CONST_LinkToGuidanceSheet)</f>
        <v>Please click on this link for further guidance on how to complete this section.</v>
      </c>
      <c r="F354" s="1319"/>
      <c r="G354" s="1319"/>
      <c r="H354" s="1319"/>
      <c r="I354" s="1319"/>
      <c r="J354" s="1319"/>
      <c r="K354" s="1319"/>
      <c r="L354" s="1319"/>
      <c r="M354" s="1319"/>
      <c r="N354" s="196"/>
      <c r="O354" s="428"/>
      <c r="R354" s="104" t="s">
        <v>2771</v>
      </c>
      <c r="S354" s="105">
        <v>4</v>
      </c>
      <c r="T354" s="712"/>
    </row>
    <row r="355" spans="1:26" ht="4.9000000000000004" customHeight="1" x14ac:dyDescent="0.25">
      <c r="B355" s="94"/>
      <c r="C355" s="192"/>
      <c r="D355" s="199"/>
      <c r="E355" s="1326"/>
      <c r="F355" s="1326"/>
      <c r="G355" s="1326"/>
      <c r="H355" s="1326"/>
      <c r="I355" s="1326"/>
      <c r="J355" s="1326"/>
      <c r="K355" s="1326"/>
      <c r="L355" s="1326"/>
      <c r="M355" s="1326"/>
      <c r="N355" s="384"/>
      <c r="O355" s="428"/>
      <c r="T355" s="712"/>
    </row>
    <row r="356" spans="1:26" ht="12.75" customHeight="1" x14ac:dyDescent="0.25">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25">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25">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25">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25">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25">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25">
      <c r="B362" s="94"/>
      <c r="C362" s="192"/>
      <c r="D362" s="197" t="s">
        <v>45</v>
      </c>
      <c r="E362" s="201" t="str">
        <f>Translations!$B$1858</f>
        <v>Justification for use of default values (if relevant):</v>
      </c>
      <c r="F362" s="201"/>
      <c r="G362" s="201"/>
      <c r="H362" s="201"/>
      <c r="I362" s="201"/>
      <c r="J362" s="201"/>
      <c r="K362" s="1325"/>
      <c r="L362" s="1325"/>
      <c r="M362" s="1325"/>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
      <c r="A364" s="91"/>
      <c r="B364" s="94"/>
      <c r="O364" s="428"/>
      <c r="P364" s="94"/>
      <c r="Q364" s="93"/>
      <c r="R364" s="91"/>
      <c r="S364" s="91"/>
      <c r="T364" s="712"/>
      <c r="U364" s="91"/>
      <c r="V364" s="91"/>
      <c r="W364" s="91"/>
      <c r="X364" s="91"/>
      <c r="Y364" s="91"/>
      <c r="Z364" s="91"/>
    </row>
    <row r="365" spans="1:26" s="144" customFormat="1" ht="12.75" customHeight="1" thickBot="1" x14ac:dyDescent="0.3">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
      <c r="B366" s="94"/>
      <c r="C366" s="147">
        <f>C322+1</f>
        <v>9</v>
      </c>
      <c r="D366" s="944" t="str">
        <f>CONST_PurchPrecursor &amp; " " &amp; C366 &amp; ":"</f>
        <v>Purchased precursor 9:</v>
      </c>
      <c r="E366" s="144"/>
      <c r="F366" s="144"/>
      <c r="G366" s="1310" t="str">
        <f>IF(INDEX(CNTR_List_ExistPurchPrecNames,MATCH(R366,CNTR_ListPurchPrecID,0))=CONST_NA,"",INDEX(CNTR_List_ExistPurchPrecNames,MATCH(R366,CNTR_ListPurchPrecID,0)))</f>
        <v/>
      </c>
      <c r="H366" s="1311"/>
      <c r="I366" s="1311"/>
      <c r="J366" s="1311"/>
      <c r="K366" s="1312"/>
      <c r="L366" s="1313" t="str">
        <f>IF(INDEX(CNTR_List_ExistPurchPrec,MATCH(R366,CNTR_ListPurchPrecID,0))=CONST_NA,"",INDEX(CNTR_List_ExistPurchPrec,MATCH(R366,CNTR_ListPurchPrecID,0)))</f>
        <v/>
      </c>
      <c r="M366" s="1314"/>
      <c r="N366" s="1315"/>
      <c r="O366" s="428"/>
      <c r="R366" s="149" t="str">
        <f>INDEX(CNTR_ListPurchPrecID,C366)</f>
        <v>PP9</v>
      </c>
      <c r="Y366" s="104" t="s">
        <v>2748</v>
      </c>
      <c r="Z366" s="150" t="b">
        <f>AND(CNTR_HasEntriesA,G366="")</f>
        <v>0</v>
      </c>
    </row>
    <row r="367" spans="1:26" ht="26.45" customHeight="1" x14ac:dyDescent="0.25">
      <c r="B367" s="94"/>
      <c r="C367" s="144"/>
      <c r="D367" s="914"/>
      <c r="E367" s="1341" t="str">
        <f ca="1">HYPERLINK("#"&amp;ADDRESS(MATCH($S367,G_FurtherGuidance!$S:$S,0),3,,,G_FurtherGuidance!$U$2),CONST_LinkToGuidanceSheet)</f>
        <v>Please click on this link for further guidance on how to complete this section.</v>
      </c>
      <c r="F367" s="1342"/>
      <c r="G367" s="1342"/>
      <c r="H367" s="1342"/>
      <c r="I367" s="1342"/>
      <c r="J367" s="1342"/>
      <c r="K367" s="1342"/>
      <c r="L367" s="1342"/>
      <c r="M367" s="1342"/>
      <c r="N367" s="144"/>
      <c r="O367" s="428"/>
      <c r="R367" s="104" t="s">
        <v>2771</v>
      </c>
      <c r="S367" s="105">
        <v>4</v>
      </c>
      <c r="Y367" s="104"/>
    </row>
    <row r="368" spans="1:26" ht="12.75" customHeight="1" x14ac:dyDescent="0.25">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25">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25">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25">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25">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25">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25">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25">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25">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25">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25">
      <c r="A378" s="91"/>
      <c r="B378" s="94"/>
      <c r="D378" s="166"/>
      <c r="E378" s="167"/>
      <c r="O378" s="428"/>
      <c r="P378" s="94"/>
      <c r="Q378" s="93"/>
      <c r="R378" s="91"/>
      <c r="S378" s="91"/>
      <c r="T378" s="712"/>
      <c r="U378" s="91"/>
      <c r="V378" s="123"/>
      <c r="W378" s="91"/>
      <c r="X378" s="91"/>
      <c r="Y378" s="91"/>
      <c r="Z378" s="91"/>
    </row>
    <row r="379" spans="1:26" s="144" customFormat="1" ht="12.75" customHeight="1" x14ac:dyDescent="0.25">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25">
      <c r="A380" s="91"/>
      <c r="B380" s="94"/>
      <c r="D380" s="173">
        <v>1</v>
      </c>
      <c r="E380" s="174" t="str">
        <f t="shared" ref="E380:E389" si="42">IF(INDEX(CNTR_List_ExistProdProcNames,S380)=CONST_NA,"",INDEX(CNTR_List_ExistProdProcNames,S380))</f>
        <v/>
      </c>
      <c r="F380" s="175"/>
      <c r="G380" s="175"/>
      <c r="H380" s="175"/>
      <c r="I380" s="175"/>
      <c r="J380" s="176"/>
      <c r="K380" s="155" t="str">
        <f>IF(E380="","",K377)</f>
        <v/>
      </c>
      <c r="L380" s="29"/>
      <c r="O380" s="945"/>
      <c r="P380" s="94"/>
      <c r="Q380" s="93"/>
      <c r="R380" s="102" t="str">
        <f>CONST_PrecursorToGoodInput&amp;G366 &amp;"_"&amp;E380</f>
        <v>PrecToGood__</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25">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25">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25">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25">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25">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25">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25">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25">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25">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25">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25">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
      <c r="A392" s="91"/>
      <c r="B392" s="94"/>
      <c r="O392" s="428"/>
      <c r="P392" s="94"/>
      <c r="Q392" s="93"/>
      <c r="R392" s="91"/>
      <c r="S392" s="91"/>
      <c r="T392" s="712"/>
      <c r="U392" s="91"/>
      <c r="V392" s="91"/>
      <c r="W392" s="91"/>
      <c r="X392" s="91"/>
      <c r="Y392" s="91"/>
      <c r="Z392" s="91"/>
    </row>
    <row r="393" spans="1:26" ht="12.75" customHeight="1" x14ac:dyDescent="0.25">
      <c r="B393" s="94"/>
      <c r="C393" s="187"/>
      <c r="D393" s="188"/>
      <c r="E393" s="189"/>
      <c r="F393" s="190"/>
      <c r="G393" s="190"/>
      <c r="H393" s="190"/>
      <c r="I393" s="190"/>
      <c r="J393" s="190"/>
      <c r="K393" s="190"/>
      <c r="L393" s="190"/>
      <c r="M393" s="190"/>
      <c r="N393" s="191"/>
      <c r="O393" s="428"/>
      <c r="T393" s="712"/>
    </row>
    <row r="394" spans="1:26" ht="15" customHeight="1" x14ac:dyDescent="0.25">
      <c r="B394" s="94"/>
      <c r="C394" s="192"/>
      <c r="D394" s="193" t="str">
        <f>Translations!$B$279</f>
        <v>Specific embedded emissions:</v>
      </c>
      <c r="E394" s="194"/>
      <c r="F394" s="195"/>
      <c r="G394" s="195"/>
      <c r="H394" s="195"/>
      <c r="I394" s="195"/>
      <c r="J394" s="1327" t="str">
        <f>IF(G366="","",G366)</f>
        <v/>
      </c>
      <c r="K394" s="1327"/>
      <c r="L394" s="1327"/>
      <c r="M394" s="1327"/>
      <c r="N394" s="196"/>
      <c r="O394" s="428"/>
      <c r="T394" s="712"/>
    </row>
    <row r="395" spans="1:26" ht="5.0999999999999996" customHeight="1" x14ac:dyDescent="0.25">
      <c r="B395" s="94"/>
      <c r="C395" s="192"/>
      <c r="D395" s="197"/>
      <c r="E395" s="198"/>
      <c r="F395" s="195"/>
      <c r="G395" s="195"/>
      <c r="H395" s="195"/>
      <c r="I395" s="195"/>
      <c r="J395" s="195"/>
      <c r="K395" s="195"/>
      <c r="L395" s="195"/>
      <c r="M395" s="195"/>
      <c r="N395" s="196"/>
      <c r="O395" s="428"/>
      <c r="T395" s="712"/>
    </row>
    <row r="396" spans="1:26" ht="12.75" customHeight="1" x14ac:dyDescent="0.25">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000000000000004" customHeight="1" x14ac:dyDescent="0.25">
      <c r="B397" s="94"/>
      <c r="C397" s="192"/>
      <c r="D397" s="199"/>
      <c r="E397" s="1326"/>
      <c r="F397" s="1326"/>
      <c r="G397" s="1326"/>
      <c r="H397" s="1326"/>
      <c r="I397" s="1326"/>
      <c r="J397" s="1326"/>
      <c r="K397" s="1326"/>
      <c r="L397" s="1326"/>
      <c r="M397" s="1326"/>
      <c r="N397" s="196"/>
      <c r="O397" s="428"/>
      <c r="T397" s="712"/>
    </row>
    <row r="398" spans="1:26" ht="13.15" customHeight="1" x14ac:dyDescent="0.25">
      <c r="B398" s="94"/>
      <c r="C398" s="192"/>
      <c r="D398" s="199"/>
      <c r="E398" s="1318" t="str">
        <f ca="1">HYPERLINK("#"&amp;ADDRESS(MATCH($S398,G_FurtherGuidance!$S:$S,0),3,,,G_FurtherGuidance!$U$2),CONST_LinkToGuidanceSheet)</f>
        <v>Please click on this link for further guidance on how to complete this section.</v>
      </c>
      <c r="F398" s="1319"/>
      <c r="G398" s="1319"/>
      <c r="H398" s="1319"/>
      <c r="I398" s="1319"/>
      <c r="J398" s="1319"/>
      <c r="K398" s="1319"/>
      <c r="L398" s="1319"/>
      <c r="M398" s="1319"/>
      <c r="N398" s="196"/>
      <c r="O398" s="428"/>
      <c r="R398" s="104" t="s">
        <v>2771</v>
      </c>
      <c r="S398" s="105">
        <v>4</v>
      </c>
      <c r="T398" s="712"/>
    </row>
    <row r="399" spans="1:26" ht="4.9000000000000004" customHeight="1" x14ac:dyDescent="0.25">
      <c r="B399" s="94"/>
      <c r="C399" s="192"/>
      <c r="D399" s="199"/>
      <c r="E399" s="1326"/>
      <c r="F399" s="1326"/>
      <c r="G399" s="1326"/>
      <c r="H399" s="1326"/>
      <c r="I399" s="1326"/>
      <c r="J399" s="1326"/>
      <c r="K399" s="1326"/>
      <c r="L399" s="1326"/>
      <c r="M399" s="1326"/>
      <c r="N399" s="384"/>
      <c r="O399" s="428"/>
      <c r="T399" s="712"/>
    </row>
    <row r="400" spans="1:26" ht="12.75" customHeight="1" x14ac:dyDescent="0.25">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25">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25">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25">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25">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25">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25">
      <c r="B406" s="94"/>
      <c r="C406" s="192"/>
      <c r="D406" s="197" t="s">
        <v>45</v>
      </c>
      <c r="E406" s="201" t="str">
        <f>Translations!$B$1858</f>
        <v>Justification for use of default values (if relevant):</v>
      </c>
      <c r="F406" s="201"/>
      <c r="G406" s="201"/>
      <c r="H406" s="201"/>
      <c r="I406" s="201"/>
      <c r="J406" s="201"/>
      <c r="K406" s="1325"/>
      <c r="L406" s="1325"/>
      <c r="M406" s="1325"/>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
      <c r="A408" s="91"/>
      <c r="B408" s="94"/>
      <c r="O408" s="428"/>
      <c r="P408" s="94"/>
      <c r="Q408" s="93"/>
      <c r="R408" s="91"/>
      <c r="S408" s="91"/>
      <c r="T408" s="712"/>
      <c r="U408" s="91"/>
      <c r="V408" s="91"/>
      <c r="W408" s="91"/>
      <c r="X408" s="91"/>
      <c r="Y408" s="91"/>
      <c r="Z408" s="91"/>
    </row>
    <row r="409" spans="1:26" s="144" customFormat="1" ht="12.75" customHeight="1" thickBot="1" x14ac:dyDescent="0.3">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
      <c r="B410" s="94"/>
      <c r="C410" s="147">
        <f>C366+1</f>
        <v>10</v>
      </c>
      <c r="D410" s="944" t="str">
        <f>CONST_PurchPrecursor &amp; " " &amp; C410 &amp; ":"</f>
        <v>Purchased precursor 10:</v>
      </c>
      <c r="E410" s="144"/>
      <c r="F410" s="144"/>
      <c r="G410" s="1310" t="str">
        <f>IF(INDEX(CNTR_List_ExistPurchPrecNames,MATCH(R410,CNTR_ListPurchPrecID,0))=CONST_NA,"",INDEX(CNTR_List_ExistPurchPrecNames,MATCH(R410,CNTR_ListPurchPrecID,0)))</f>
        <v/>
      </c>
      <c r="H410" s="1311"/>
      <c r="I410" s="1311"/>
      <c r="J410" s="1311"/>
      <c r="K410" s="1312"/>
      <c r="L410" s="1313" t="str">
        <f>IF(INDEX(CNTR_List_ExistPurchPrec,MATCH(R410,CNTR_ListPurchPrecID,0))=CONST_NA,"",INDEX(CNTR_List_ExistPurchPrec,MATCH(R410,CNTR_ListPurchPrecID,0)))</f>
        <v/>
      </c>
      <c r="M410" s="1314"/>
      <c r="N410" s="1315"/>
      <c r="O410" s="428"/>
      <c r="R410" s="149" t="str">
        <f>INDEX(CNTR_ListPurchPrecID,C410)</f>
        <v>PP10</v>
      </c>
      <c r="Y410" s="104" t="s">
        <v>2748</v>
      </c>
      <c r="Z410" s="150" t="b">
        <f>AND(CNTR_HasEntriesA,G410="")</f>
        <v>0</v>
      </c>
    </row>
    <row r="411" spans="1:26" ht="26.45" customHeight="1" x14ac:dyDescent="0.25">
      <c r="B411" s="94"/>
      <c r="C411" s="144"/>
      <c r="D411" s="914"/>
      <c r="E411" s="1341" t="str">
        <f ca="1">HYPERLINK("#"&amp;ADDRESS(MATCH($S411,G_FurtherGuidance!$S:$S,0),3,,,G_FurtherGuidance!$U$2),CONST_LinkToGuidanceSheet)</f>
        <v>Please click on this link for further guidance on how to complete this section.</v>
      </c>
      <c r="F411" s="1342"/>
      <c r="G411" s="1342"/>
      <c r="H411" s="1342"/>
      <c r="I411" s="1342"/>
      <c r="J411" s="1342"/>
      <c r="K411" s="1342"/>
      <c r="L411" s="1342"/>
      <c r="M411" s="1342"/>
      <c r="N411" s="144"/>
      <c r="O411" s="428"/>
      <c r="R411" s="104" t="s">
        <v>2771</v>
      </c>
      <c r="S411" s="105">
        <v>4</v>
      </c>
      <c r="Y411" s="104"/>
    </row>
    <row r="412" spans="1:26" ht="12.75" customHeight="1" x14ac:dyDescent="0.25">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25">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25">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25">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25">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25">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25">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25">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25">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25">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25">
      <c r="A422" s="91"/>
      <c r="B422" s="94"/>
      <c r="D422" s="166"/>
      <c r="E422" s="167"/>
      <c r="O422" s="428"/>
      <c r="P422" s="94"/>
      <c r="Q422" s="93"/>
      <c r="R422" s="91"/>
      <c r="S422" s="91"/>
      <c r="T422" s="712"/>
      <c r="U422" s="91"/>
      <c r="V422" s="123"/>
      <c r="W422" s="91"/>
      <c r="X422" s="91"/>
      <c r="Y422" s="91"/>
      <c r="Z422" s="91"/>
    </row>
    <row r="423" spans="1:26" s="144" customFormat="1" ht="12.75" customHeight="1" x14ac:dyDescent="0.25">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25">
      <c r="A424" s="91"/>
      <c r="B424" s="94"/>
      <c r="D424" s="173">
        <v>1</v>
      </c>
      <c r="E424" s="174" t="str">
        <f t="shared" ref="E424:E433" si="47">IF(INDEX(CNTR_List_ExistProdProcNames,S424)=CONST_NA,"",INDEX(CNTR_List_ExistProdProcNames,S424))</f>
        <v/>
      </c>
      <c r="F424" s="175"/>
      <c r="G424" s="175"/>
      <c r="H424" s="175"/>
      <c r="I424" s="175"/>
      <c r="J424" s="176"/>
      <c r="K424" s="155" t="str">
        <f>IF(E424="","",K421)</f>
        <v/>
      </c>
      <c r="L424" s="29"/>
      <c r="O424" s="945"/>
      <c r="P424" s="94"/>
      <c r="Q424" s="93"/>
      <c r="R424" s="102" t="str">
        <f>CONST_PrecursorToGoodInput&amp;G410 &amp;"_"&amp;E424</f>
        <v>PrecToGood__</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25">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25">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25">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25">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25">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25">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25">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25">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25">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25">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25">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
      <c r="A436" s="91"/>
      <c r="B436" s="94"/>
      <c r="O436" s="428"/>
      <c r="P436" s="94"/>
      <c r="Q436" s="93"/>
      <c r="R436" s="91"/>
      <c r="S436" s="91"/>
      <c r="T436" s="712"/>
      <c r="U436" s="91"/>
      <c r="V436" s="91"/>
      <c r="W436" s="91"/>
      <c r="X436" s="91"/>
      <c r="Y436" s="91"/>
      <c r="Z436" s="91"/>
    </row>
    <row r="437" spans="1:26" ht="12.75" customHeight="1" x14ac:dyDescent="0.25">
      <c r="B437" s="94"/>
      <c r="C437" s="187"/>
      <c r="D437" s="188"/>
      <c r="E437" s="189"/>
      <c r="F437" s="190"/>
      <c r="G437" s="190"/>
      <c r="H437" s="190"/>
      <c r="I437" s="190"/>
      <c r="J437" s="190"/>
      <c r="K437" s="190"/>
      <c r="L437" s="190"/>
      <c r="M437" s="190"/>
      <c r="N437" s="191"/>
      <c r="O437" s="428"/>
      <c r="T437" s="712"/>
    </row>
    <row r="438" spans="1:26" ht="15" customHeight="1" x14ac:dyDescent="0.25">
      <c r="B438" s="94"/>
      <c r="C438" s="192"/>
      <c r="D438" s="193" t="str">
        <f>Translations!$B$279</f>
        <v>Specific embedded emissions:</v>
      </c>
      <c r="E438" s="194"/>
      <c r="F438" s="195"/>
      <c r="G438" s="195"/>
      <c r="H438" s="195"/>
      <c r="I438" s="195"/>
      <c r="J438" s="1327" t="str">
        <f>IF(G410="","",G410)</f>
        <v/>
      </c>
      <c r="K438" s="1327"/>
      <c r="L438" s="1327"/>
      <c r="M438" s="1327"/>
      <c r="N438" s="196"/>
      <c r="O438" s="428"/>
      <c r="T438" s="712"/>
    </row>
    <row r="439" spans="1:26" ht="5.0999999999999996" customHeight="1" x14ac:dyDescent="0.25">
      <c r="B439" s="94"/>
      <c r="C439" s="192"/>
      <c r="D439" s="197"/>
      <c r="E439" s="198"/>
      <c r="F439" s="195"/>
      <c r="G439" s="195"/>
      <c r="H439" s="195"/>
      <c r="I439" s="195"/>
      <c r="J439" s="195"/>
      <c r="K439" s="195"/>
      <c r="L439" s="195"/>
      <c r="M439" s="195"/>
      <c r="N439" s="196"/>
      <c r="O439" s="428"/>
      <c r="T439" s="712"/>
    </row>
    <row r="440" spans="1:26" ht="12.75" customHeight="1" x14ac:dyDescent="0.25">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000000000000004" customHeight="1" x14ac:dyDescent="0.25">
      <c r="B441" s="94"/>
      <c r="C441" s="192"/>
      <c r="D441" s="199"/>
      <c r="E441" s="1326"/>
      <c r="F441" s="1326"/>
      <c r="G441" s="1326"/>
      <c r="H441" s="1326"/>
      <c r="I441" s="1326"/>
      <c r="J441" s="1326"/>
      <c r="K441" s="1326"/>
      <c r="L441" s="1326"/>
      <c r="M441" s="1326"/>
      <c r="N441" s="196"/>
      <c r="O441" s="428"/>
      <c r="T441" s="712"/>
    </row>
    <row r="442" spans="1:26" ht="13.15" customHeight="1" x14ac:dyDescent="0.25">
      <c r="B442" s="94"/>
      <c r="C442" s="192"/>
      <c r="D442" s="199"/>
      <c r="E442" s="1318" t="str">
        <f ca="1">HYPERLINK("#"&amp;ADDRESS(MATCH($S442,G_FurtherGuidance!$S:$S,0),3,,,G_FurtherGuidance!$U$2),CONST_LinkToGuidanceSheet)</f>
        <v>Please click on this link for further guidance on how to complete this section.</v>
      </c>
      <c r="F442" s="1319"/>
      <c r="G442" s="1319"/>
      <c r="H442" s="1319"/>
      <c r="I442" s="1319"/>
      <c r="J442" s="1319"/>
      <c r="K442" s="1319"/>
      <c r="L442" s="1319"/>
      <c r="M442" s="1319"/>
      <c r="N442" s="196"/>
      <c r="O442" s="428"/>
      <c r="R442" s="104" t="s">
        <v>2771</v>
      </c>
      <c r="S442" s="105">
        <v>4</v>
      </c>
      <c r="T442" s="712"/>
    </row>
    <row r="443" spans="1:26" ht="4.9000000000000004" customHeight="1" x14ac:dyDescent="0.25">
      <c r="B443" s="94"/>
      <c r="C443" s="192"/>
      <c r="D443" s="199"/>
      <c r="E443" s="1326"/>
      <c r="F443" s="1326"/>
      <c r="G443" s="1326"/>
      <c r="H443" s="1326"/>
      <c r="I443" s="1326"/>
      <c r="J443" s="1326"/>
      <c r="K443" s="1326"/>
      <c r="L443" s="1326"/>
      <c r="M443" s="1326"/>
      <c r="N443" s="384"/>
      <c r="O443" s="428"/>
      <c r="T443" s="712"/>
    </row>
    <row r="444" spans="1:26" ht="12.75" customHeight="1" x14ac:dyDescent="0.25">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25">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25">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25">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25">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25">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25">
      <c r="B450" s="94"/>
      <c r="C450" s="192"/>
      <c r="D450" s="197" t="s">
        <v>45</v>
      </c>
      <c r="E450" s="201" t="str">
        <f>Translations!$B$1858</f>
        <v>Justification for use of default values (if relevant):</v>
      </c>
      <c r="F450" s="201"/>
      <c r="G450" s="201"/>
      <c r="H450" s="201"/>
      <c r="I450" s="201"/>
      <c r="J450" s="201"/>
      <c r="K450" s="1325"/>
      <c r="L450" s="1325"/>
      <c r="M450" s="1325"/>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
      <c r="A452" s="91"/>
      <c r="B452" s="94"/>
      <c r="O452" s="428"/>
      <c r="P452" s="94"/>
      <c r="Q452" s="93"/>
      <c r="R452" s="91"/>
      <c r="S452" s="91"/>
      <c r="T452" s="712"/>
      <c r="U452" s="91"/>
      <c r="V452" s="91"/>
      <c r="W452" s="91"/>
      <c r="X452" s="91"/>
      <c r="Y452" s="91"/>
      <c r="Z452" s="91"/>
    </row>
    <row r="453" spans="1:26" s="144" customFormat="1" ht="12.75" customHeight="1" thickBot="1" x14ac:dyDescent="0.3">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
      <c r="B454" s="94"/>
      <c r="C454" s="147">
        <f>C410+1</f>
        <v>11</v>
      </c>
      <c r="D454" s="944" t="str">
        <f>CONST_PurchPrecursor &amp; " " &amp; C454 &amp; ":"</f>
        <v>Purchased precursor 11:</v>
      </c>
      <c r="E454" s="144"/>
      <c r="F454" s="144"/>
      <c r="G454" s="1310" t="str">
        <f>IF(INDEX(CNTR_List_ExistPurchPrecNames,MATCH(R454,CNTR_ListPurchPrecID,0))=CONST_NA,"",INDEX(CNTR_List_ExistPurchPrecNames,MATCH(R454,CNTR_ListPurchPrecID,0)))</f>
        <v/>
      </c>
      <c r="H454" s="1311"/>
      <c r="I454" s="1311"/>
      <c r="J454" s="1311"/>
      <c r="K454" s="1312"/>
      <c r="L454" s="1313" t="str">
        <f>IF(INDEX(CNTR_List_ExistPurchPrec,MATCH(R454,CNTR_ListPurchPrecID,0))=CONST_NA,"",INDEX(CNTR_List_ExistPurchPrec,MATCH(R454,CNTR_ListPurchPrecID,0)))</f>
        <v/>
      </c>
      <c r="M454" s="1314"/>
      <c r="N454" s="1315"/>
      <c r="O454" s="428"/>
      <c r="R454" s="149" t="str">
        <f>INDEX(CNTR_ListPurchPrecID,C454)</f>
        <v>PP11</v>
      </c>
      <c r="Y454" s="104" t="s">
        <v>2748</v>
      </c>
      <c r="Z454" s="150" t="b">
        <f>AND(CNTR_HasEntriesA,G454="")</f>
        <v>0</v>
      </c>
    </row>
    <row r="455" spans="1:26" ht="26.45" customHeight="1" x14ac:dyDescent="0.25">
      <c r="B455" s="94"/>
      <c r="C455" s="144"/>
      <c r="D455" s="914"/>
      <c r="E455" s="1341" t="str">
        <f ca="1">HYPERLINK("#"&amp;ADDRESS(MATCH($S455,G_FurtherGuidance!$S:$S,0),3,,,G_FurtherGuidance!$U$2),CONST_LinkToGuidanceSheet)</f>
        <v>Please click on this link for further guidance on how to complete this section.</v>
      </c>
      <c r="F455" s="1342"/>
      <c r="G455" s="1342"/>
      <c r="H455" s="1342"/>
      <c r="I455" s="1342"/>
      <c r="J455" s="1342"/>
      <c r="K455" s="1342"/>
      <c r="L455" s="1342"/>
      <c r="M455" s="1342"/>
      <c r="N455" s="144"/>
      <c r="O455" s="428"/>
      <c r="R455" s="104" t="s">
        <v>2771</v>
      </c>
      <c r="S455" s="105">
        <v>4</v>
      </c>
      <c r="Y455" s="104"/>
    </row>
    <row r="456" spans="1:26" ht="12.75" customHeight="1" x14ac:dyDescent="0.25">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25">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25">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25">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25">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25">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25">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25">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25">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25">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25">
      <c r="A466" s="91"/>
      <c r="B466" s="94"/>
      <c r="D466" s="166"/>
      <c r="E466" s="167"/>
      <c r="O466" s="428"/>
      <c r="P466" s="94"/>
      <c r="Q466" s="93"/>
      <c r="R466" s="91"/>
      <c r="S466" s="91"/>
      <c r="T466" s="712"/>
      <c r="U466" s="91"/>
      <c r="V466" s="123"/>
      <c r="W466" s="91"/>
      <c r="X466" s="91"/>
      <c r="Y466" s="91"/>
      <c r="Z466" s="91"/>
    </row>
    <row r="467" spans="1:26" s="144" customFormat="1" ht="12.75" customHeight="1" x14ac:dyDescent="0.25">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25">
      <c r="A468" s="91"/>
      <c r="B468" s="94"/>
      <c r="D468" s="173">
        <v>1</v>
      </c>
      <c r="E468" s="174" t="str">
        <f t="shared" ref="E468:E477" si="52">IF(INDEX(CNTR_List_ExistProdProcNames,S468)=CONST_NA,"",INDEX(CNTR_List_ExistProdProcNames,S468))</f>
        <v/>
      </c>
      <c r="F468" s="175"/>
      <c r="G468" s="175"/>
      <c r="H468" s="175"/>
      <c r="I468" s="175"/>
      <c r="J468" s="176"/>
      <c r="K468" s="155" t="str">
        <f>IF(E468="","",K465)</f>
        <v/>
      </c>
      <c r="L468" s="29"/>
      <c r="O468" s="945"/>
      <c r="P468" s="94"/>
      <c r="Q468" s="93"/>
      <c r="R468" s="102" t="str">
        <f>CONST_PrecursorToGoodInput&amp;G454 &amp;"_"&amp;E468</f>
        <v>PrecToGood__</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25">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25">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25">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25">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25">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25">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25">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25">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25">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25">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25">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
      <c r="A480" s="91"/>
      <c r="B480" s="94"/>
      <c r="O480" s="428"/>
      <c r="P480" s="94"/>
      <c r="Q480" s="93"/>
      <c r="R480" s="91"/>
      <c r="S480" s="91"/>
      <c r="T480" s="712"/>
      <c r="U480" s="91"/>
      <c r="V480" s="91"/>
      <c r="W480" s="91"/>
      <c r="X480" s="91"/>
      <c r="Y480" s="91"/>
      <c r="Z480" s="91"/>
    </row>
    <row r="481" spans="1:26" ht="12.75" customHeight="1" x14ac:dyDescent="0.25">
      <c r="B481" s="94"/>
      <c r="C481" s="187"/>
      <c r="D481" s="188"/>
      <c r="E481" s="189"/>
      <c r="F481" s="190"/>
      <c r="G481" s="190"/>
      <c r="H481" s="190"/>
      <c r="I481" s="190"/>
      <c r="J481" s="190"/>
      <c r="K481" s="190"/>
      <c r="L481" s="190"/>
      <c r="M481" s="190"/>
      <c r="N481" s="191"/>
      <c r="O481" s="428"/>
      <c r="T481" s="712"/>
    </row>
    <row r="482" spans="1:26" ht="15" customHeight="1" x14ac:dyDescent="0.25">
      <c r="B482" s="94"/>
      <c r="C482" s="192"/>
      <c r="D482" s="193" t="str">
        <f>Translations!$B$279</f>
        <v>Specific embedded emissions:</v>
      </c>
      <c r="E482" s="194"/>
      <c r="F482" s="195"/>
      <c r="G482" s="195"/>
      <c r="H482" s="195"/>
      <c r="I482" s="195"/>
      <c r="J482" s="1327" t="str">
        <f>IF(G454="","",G454)</f>
        <v/>
      </c>
      <c r="K482" s="1327"/>
      <c r="L482" s="1327"/>
      <c r="M482" s="1327"/>
      <c r="N482" s="196"/>
      <c r="O482" s="428"/>
      <c r="T482" s="712"/>
    </row>
    <row r="483" spans="1:26" ht="5.0999999999999996" customHeight="1" x14ac:dyDescent="0.25">
      <c r="B483" s="94"/>
      <c r="C483" s="192"/>
      <c r="D483" s="197"/>
      <c r="E483" s="198"/>
      <c r="F483" s="195"/>
      <c r="G483" s="195"/>
      <c r="H483" s="195"/>
      <c r="I483" s="195"/>
      <c r="J483" s="195"/>
      <c r="K483" s="195"/>
      <c r="L483" s="195"/>
      <c r="M483" s="195"/>
      <c r="N483" s="196"/>
      <c r="O483" s="428"/>
      <c r="T483" s="712"/>
    </row>
    <row r="484" spans="1:26" ht="12.75" customHeight="1" x14ac:dyDescent="0.25">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000000000000004" customHeight="1" x14ac:dyDescent="0.25">
      <c r="B485" s="94"/>
      <c r="C485" s="192"/>
      <c r="D485" s="199"/>
      <c r="E485" s="1326"/>
      <c r="F485" s="1326"/>
      <c r="G485" s="1326"/>
      <c r="H485" s="1326"/>
      <c r="I485" s="1326"/>
      <c r="J485" s="1326"/>
      <c r="K485" s="1326"/>
      <c r="L485" s="1326"/>
      <c r="M485" s="1326"/>
      <c r="N485" s="196"/>
      <c r="O485" s="428"/>
      <c r="T485" s="712"/>
    </row>
    <row r="486" spans="1:26" ht="13.15" customHeight="1" x14ac:dyDescent="0.25">
      <c r="B486" s="94"/>
      <c r="C486" s="192"/>
      <c r="D486" s="199"/>
      <c r="E486" s="1318" t="str">
        <f ca="1">HYPERLINK("#"&amp;ADDRESS(MATCH($S486,G_FurtherGuidance!$S:$S,0),3,,,G_FurtherGuidance!$U$2),CONST_LinkToGuidanceSheet)</f>
        <v>Please click on this link for further guidance on how to complete this section.</v>
      </c>
      <c r="F486" s="1319"/>
      <c r="G486" s="1319"/>
      <c r="H486" s="1319"/>
      <c r="I486" s="1319"/>
      <c r="J486" s="1319"/>
      <c r="K486" s="1319"/>
      <c r="L486" s="1319"/>
      <c r="M486" s="1319"/>
      <c r="N486" s="196"/>
      <c r="O486" s="428"/>
      <c r="R486" s="104" t="s">
        <v>2771</v>
      </c>
      <c r="S486" s="105">
        <v>4</v>
      </c>
      <c r="T486" s="712"/>
    </row>
    <row r="487" spans="1:26" ht="4.9000000000000004" customHeight="1" x14ac:dyDescent="0.25">
      <c r="B487" s="94"/>
      <c r="C487" s="192"/>
      <c r="D487" s="199"/>
      <c r="E487" s="1326"/>
      <c r="F487" s="1326"/>
      <c r="G487" s="1326"/>
      <c r="H487" s="1326"/>
      <c r="I487" s="1326"/>
      <c r="J487" s="1326"/>
      <c r="K487" s="1326"/>
      <c r="L487" s="1326"/>
      <c r="M487" s="1326"/>
      <c r="N487" s="384"/>
      <c r="O487" s="428"/>
      <c r="T487" s="712"/>
    </row>
    <row r="488" spans="1:26" ht="12.75" customHeight="1" x14ac:dyDescent="0.25">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25">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25">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25">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25">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25">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25">
      <c r="B494" s="94"/>
      <c r="C494" s="192"/>
      <c r="D494" s="197" t="s">
        <v>45</v>
      </c>
      <c r="E494" s="201" t="str">
        <f>Translations!$B$1858</f>
        <v>Justification for use of default values (if relevant):</v>
      </c>
      <c r="F494" s="201"/>
      <c r="G494" s="201"/>
      <c r="H494" s="201"/>
      <c r="I494" s="201"/>
      <c r="J494" s="201"/>
      <c r="K494" s="1325"/>
      <c r="L494" s="1325"/>
      <c r="M494" s="1325"/>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
      <c r="A496" s="91"/>
      <c r="B496" s="94"/>
      <c r="O496" s="428"/>
      <c r="P496" s="94"/>
      <c r="Q496" s="93"/>
      <c r="R496" s="91"/>
      <c r="S496" s="91"/>
      <c r="T496" s="712"/>
      <c r="U496" s="91"/>
      <c r="V496" s="91"/>
      <c r="W496" s="91"/>
      <c r="X496" s="91"/>
      <c r="Y496" s="91"/>
      <c r="Z496" s="91"/>
    </row>
    <row r="497" spans="1:26" s="144" customFormat="1" ht="12.75" customHeight="1" thickBot="1" x14ac:dyDescent="0.3">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
      <c r="B498" s="94"/>
      <c r="C498" s="147">
        <f>C454+1</f>
        <v>12</v>
      </c>
      <c r="D498" s="944" t="str">
        <f>CONST_PurchPrecursor &amp; " " &amp; C498 &amp; ":"</f>
        <v>Purchased precursor 12:</v>
      </c>
      <c r="E498" s="144"/>
      <c r="F498" s="144"/>
      <c r="G498" s="1310" t="str">
        <f>IF(INDEX(CNTR_List_ExistPurchPrecNames,MATCH(R498,CNTR_ListPurchPrecID,0))=CONST_NA,"",INDEX(CNTR_List_ExistPurchPrecNames,MATCH(R498,CNTR_ListPurchPrecID,0)))</f>
        <v/>
      </c>
      <c r="H498" s="1311"/>
      <c r="I498" s="1311"/>
      <c r="J498" s="1311"/>
      <c r="K498" s="1312"/>
      <c r="L498" s="1313" t="str">
        <f>IF(INDEX(CNTR_List_ExistPurchPrec,MATCH(R498,CNTR_ListPurchPrecID,0))=CONST_NA,"",INDEX(CNTR_List_ExistPurchPrec,MATCH(R498,CNTR_ListPurchPrecID,0)))</f>
        <v/>
      </c>
      <c r="M498" s="1314"/>
      <c r="N498" s="1315"/>
      <c r="O498" s="428"/>
      <c r="R498" s="149" t="str">
        <f>INDEX(CNTR_ListPurchPrecID,C498)</f>
        <v>PP12</v>
      </c>
      <c r="Y498" s="104" t="s">
        <v>2748</v>
      </c>
      <c r="Z498" s="150" t="b">
        <f>AND(CNTR_HasEntriesA,G498="")</f>
        <v>0</v>
      </c>
    </row>
    <row r="499" spans="1:26" ht="26.45" customHeight="1" x14ac:dyDescent="0.25">
      <c r="B499" s="94"/>
      <c r="C499" s="144"/>
      <c r="D499" s="914"/>
      <c r="E499" s="1341" t="str">
        <f ca="1">HYPERLINK("#"&amp;ADDRESS(MATCH($S499,G_FurtherGuidance!$S:$S,0),3,,,G_FurtherGuidance!$U$2),CONST_LinkToGuidanceSheet)</f>
        <v>Please click on this link for further guidance on how to complete this section.</v>
      </c>
      <c r="F499" s="1342"/>
      <c r="G499" s="1342"/>
      <c r="H499" s="1342"/>
      <c r="I499" s="1342"/>
      <c r="J499" s="1342"/>
      <c r="K499" s="1342"/>
      <c r="L499" s="1342"/>
      <c r="M499" s="1342"/>
      <c r="N499" s="144"/>
      <c r="O499" s="428"/>
      <c r="R499" s="104" t="s">
        <v>2771</v>
      </c>
      <c r="S499" s="105">
        <v>4</v>
      </c>
      <c r="Y499" s="104"/>
    </row>
    <row r="500" spans="1:26" ht="12.75" customHeight="1" x14ac:dyDescent="0.25">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25">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25">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25">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25">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25">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25">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25">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25">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25">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25">
      <c r="A510" s="91"/>
      <c r="B510" s="94"/>
      <c r="D510" s="166"/>
      <c r="E510" s="167"/>
      <c r="O510" s="428"/>
      <c r="P510" s="94"/>
      <c r="Q510" s="93"/>
      <c r="R510" s="91"/>
      <c r="S510" s="91"/>
      <c r="T510" s="712"/>
      <c r="U510" s="91"/>
      <c r="V510" s="123"/>
      <c r="W510" s="91"/>
      <c r="X510" s="91"/>
      <c r="Y510" s="91"/>
      <c r="Z510" s="91"/>
    </row>
    <row r="511" spans="1:26" s="144" customFormat="1" ht="12.75" customHeight="1" x14ac:dyDescent="0.25">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25">
      <c r="A512" s="91"/>
      <c r="B512" s="94"/>
      <c r="D512" s="173">
        <v>1</v>
      </c>
      <c r="E512" s="174" t="str">
        <f t="shared" ref="E512:E521" si="57">IF(INDEX(CNTR_List_ExistProdProcNames,S512)=CONST_NA,"",INDEX(CNTR_List_ExistProdProcNames,S512))</f>
        <v/>
      </c>
      <c r="F512" s="175"/>
      <c r="G512" s="175"/>
      <c r="H512" s="175"/>
      <c r="I512" s="175"/>
      <c r="J512" s="176"/>
      <c r="K512" s="155" t="str">
        <f>IF(E512="","",K509)</f>
        <v/>
      </c>
      <c r="L512" s="29"/>
      <c r="O512" s="945"/>
      <c r="P512" s="94"/>
      <c r="Q512" s="93"/>
      <c r="R512" s="102" t="str">
        <f>CONST_PrecursorToGoodInput&amp;G498 &amp;"_"&amp;E512</f>
        <v>PrecToGood__</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25">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25">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25">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25">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25">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25">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25">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25">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25">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25">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25">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
      <c r="A524" s="91"/>
      <c r="B524" s="94"/>
      <c r="O524" s="428"/>
      <c r="P524" s="94"/>
      <c r="Q524" s="93"/>
      <c r="R524" s="91"/>
      <c r="S524" s="91"/>
      <c r="T524" s="712"/>
      <c r="U524" s="91"/>
      <c r="V524" s="91"/>
      <c r="W524" s="91"/>
      <c r="X524" s="91"/>
      <c r="Y524" s="91"/>
      <c r="Z524" s="91"/>
    </row>
    <row r="525" spans="1:26" ht="12.75" customHeight="1" x14ac:dyDescent="0.25">
      <c r="B525" s="94"/>
      <c r="C525" s="187"/>
      <c r="D525" s="188"/>
      <c r="E525" s="189"/>
      <c r="F525" s="190"/>
      <c r="G525" s="190"/>
      <c r="H525" s="190"/>
      <c r="I525" s="190"/>
      <c r="J525" s="190"/>
      <c r="K525" s="190"/>
      <c r="L525" s="190"/>
      <c r="M525" s="190"/>
      <c r="N525" s="191"/>
      <c r="O525" s="428"/>
      <c r="T525" s="712"/>
    </row>
    <row r="526" spans="1:26" ht="15" customHeight="1" x14ac:dyDescent="0.25">
      <c r="B526" s="94"/>
      <c r="C526" s="192"/>
      <c r="D526" s="193" t="str">
        <f>Translations!$B$279</f>
        <v>Specific embedded emissions:</v>
      </c>
      <c r="E526" s="194"/>
      <c r="F526" s="195"/>
      <c r="G526" s="195"/>
      <c r="H526" s="195"/>
      <c r="I526" s="195"/>
      <c r="J526" s="1327" t="str">
        <f>IF(G498="","",G498)</f>
        <v/>
      </c>
      <c r="K526" s="1327"/>
      <c r="L526" s="1327"/>
      <c r="M526" s="1327"/>
      <c r="N526" s="196"/>
      <c r="O526" s="428"/>
      <c r="T526" s="712"/>
    </row>
    <row r="527" spans="1:26" ht="5.0999999999999996" customHeight="1" x14ac:dyDescent="0.25">
      <c r="B527" s="94"/>
      <c r="C527" s="192"/>
      <c r="D527" s="197"/>
      <c r="E527" s="198"/>
      <c r="F527" s="195"/>
      <c r="G527" s="195"/>
      <c r="H527" s="195"/>
      <c r="I527" s="195"/>
      <c r="J527" s="195"/>
      <c r="K527" s="195"/>
      <c r="L527" s="195"/>
      <c r="M527" s="195"/>
      <c r="N527" s="196"/>
      <c r="O527" s="428"/>
      <c r="T527" s="712"/>
    </row>
    <row r="528" spans="1:26" ht="12.75" customHeight="1" x14ac:dyDescent="0.25">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000000000000004" customHeight="1" x14ac:dyDescent="0.25">
      <c r="B529" s="94"/>
      <c r="C529" s="192"/>
      <c r="D529" s="199"/>
      <c r="E529" s="1326"/>
      <c r="F529" s="1326"/>
      <c r="G529" s="1326"/>
      <c r="H529" s="1326"/>
      <c r="I529" s="1326"/>
      <c r="J529" s="1326"/>
      <c r="K529" s="1326"/>
      <c r="L529" s="1326"/>
      <c r="M529" s="1326"/>
      <c r="N529" s="196"/>
      <c r="O529" s="428"/>
      <c r="T529" s="712"/>
    </row>
    <row r="530" spans="1:26" ht="13.15" customHeight="1" x14ac:dyDescent="0.25">
      <c r="B530" s="94"/>
      <c r="C530" s="192"/>
      <c r="D530" s="199"/>
      <c r="E530" s="1318" t="str">
        <f ca="1">HYPERLINK("#"&amp;ADDRESS(MATCH($S530,G_FurtherGuidance!$S:$S,0),3,,,G_FurtherGuidance!$U$2),CONST_LinkToGuidanceSheet)</f>
        <v>Please click on this link for further guidance on how to complete this section.</v>
      </c>
      <c r="F530" s="1319"/>
      <c r="G530" s="1319"/>
      <c r="H530" s="1319"/>
      <c r="I530" s="1319"/>
      <c r="J530" s="1319"/>
      <c r="K530" s="1319"/>
      <c r="L530" s="1319"/>
      <c r="M530" s="1319"/>
      <c r="N530" s="196"/>
      <c r="O530" s="428"/>
      <c r="R530" s="104" t="s">
        <v>2771</v>
      </c>
      <c r="S530" s="105">
        <v>4</v>
      </c>
      <c r="T530" s="712"/>
    </row>
    <row r="531" spans="1:26" ht="4.9000000000000004" customHeight="1" x14ac:dyDescent="0.25">
      <c r="B531" s="94"/>
      <c r="C531" s="192"/>
      <c r="D531" s="199"/>
      <c r="E531" s="1326"/>
      <c r="F531" s="1326"/>
      <c r="G531" s="1326"/>
      <c r="H531" s="1326"/>
      <c r="I531" s="1326"/>
      <c r="J531" s="1326"/>
      <c r="K531" s="1326"/>
      <c r="L531" s="1326"/>
      <c r="M531" s="1326"/>
      <c r="N531" s="384"/>
      <c r="O531" s="428"/>
      <c r="T531" s="712"/>
    </row>
    <row r="532" spans="1:26" ht="12.75" customHeight="1" x14ac:dyDescent="0.25">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25">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25">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25">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25">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25">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25">
      <c r="B538" s="94"/>
      <c r="C538" s="192"/>
      <c r="D538" s="197" t="s">
        <v>45</v>
      </c>
      <c r="E538" s="201" t="str">
        <f>Translations!$B$1858</f>
        <v>Justification for use of default values (if relevant):</v>
      </c>
      <c r="F538" s="201"/>
      <c r="G538" s="201"/>
      <c r="H538" s="201"/>
      <c r="I538" s="201"/>
      <c r="J538" s="201"/>
      <c r="K538" s="1325"/>
      <c r="L538" s="1325"/>
      <c r="M538" s="1325"/>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
      <c r="A540" s="91"/>
      <c r="B540" s="94"/>
      <c r="O540" s="428"/>
      <c r="P540" s="94"/>
      <c r="Q540" s="93"/>
      <c r="R540" s="91"/>
      <c r="S540" s="91"/>
      <c r="T540" s="712"/>
      <c r="U540" s="91"/>
      <c r="V540" s="91"/>
      <c r="W540" s="91"/>
      <c r="X540" s="91"/>
      <c r="Y540" s="91"/>
      <c r="Z540" s="91"/>
    </row>
    <row r="541" spans="1:26" s="144" customFormat="1" ht="12.75" customHeight="1" thickBot="1" x14ac:dyDescent="0.3">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
      <c r="B542" s="94"/>
      <c r="C542" s="147">
        <f>C498+1</f>
        <v>13</v>
      </c>
      <c r="D542" s="944" t="str">
        <f>CONST_PurchPrecursor &amp; " " &amp; C542 &amp; ":"</f>
        <v>Purchased precursor 13:</v>
      </c>
      <c r="E542" s="144"/>
      <c r="F542" s="144"/>
      <c r="G542" s="1310" t="str">
        <f>IF(INDEX(CNTR_List_ExistPurchPrecNames,MATCH(R542,CNTR_ListPurchPrecID,0))=CONST_NA,"",INDEX(CNTR_List_ExistPurchPrecNames,MATCH(R542,CNTR_ListPurchPrecID,0)))</f>
        <v/>
      </c>
      <c r="H542" s="1311"/>
      <c r="I542" s="1311"/>
      <c r="J542" s="1311"/>
      <c r="K542" s="1312"/>
      <c r="L542" s="1313" t="str">
        <f>IF(INDEX(CNTR_List_ExistPurchPrec,MATCH(R542,CNTR_ListPurchPrecID,0))=CONST_NA,"",INDEX(CNTR_List_ExistPurchPrec,MATCH(R542,CNTR_ListPurchPrecID,0)))</f>
        <v/>
      </c>
      <c r="M542" s="1314"/>
      <c r="N542" s="1315"/>
      <c r="O542" s="428"/>
      <c r="R542" s="149" t="str">
        <f>INDEX(CNTR_ListPurchPrecID,C542)</f>
        <v>PP13</v>
      </c>
      <c r="Y542" s="104" t="s">
        <v>2748</v>
      </c>
      <c r="Z542" s="150" t="b">
        <f>AND(CNTR_HasEntriesA,G542="")</f>
        <v>0</v>
      </c>
    </row>
    <row r="543" spans="1:26" ht="26.45" customHeight="1" x14ac:dyDescent="0.25">
      <c r="B543" s="94"/>
      <c r="C543" s="144"/>
      <c r="D543" s="914"/>
      <c r="E543" s="1341" t="str">
        <f ca="1">HYPERLINK("#"&amp;ADDRESS(MATCH($S543,G_FurtherGuidance!$S:$S,0),3,,,G_FurtherGuidance!$U$2),CONST_LinkToGuidanceSheet)</f>
        <v>Please click on this link for further guidance on how to complete this section.</v>
      </c>
      <c r="F543" s="1342"/>
      <c r="G543" s="1342"/>
      <c r="H543" s="1342"/>
      <c r="I543" s="1342"/>
      <c r="J543" s="1342"/>
      <c r="K543" s="1342"/>
      <c r="L543" s="1342"/>
      <c r="M543" s="1342"/>
      <c r="N543" s="144"/>
      <c r="O543" s="428"/>
      <c r="R543" s="104" t="s">
        <v>2771</v>
      </c>
      <c r="S543" s="105">
        <v>4</v>
      </c>
      <c r="Y543" s="104"/>
    </row>
    <row r="544" spans="1:26" ht="12.75" customHeight="1" x14ac:dyDescent="0.25">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25">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25">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25">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25">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25">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25">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25">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25">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25">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25">
      <c r="A554" s="91"/>
      <c r="B554" s="94"/>
      <c r="D554" s="166"/>
      <c r="E554" s="167"/>
      <c r="O554" s="428"/>
      <c r="P554" s="94"/>
      <c r="Q554" s="93"/>
      <c r="R554" s="91"/>
      <c r="S554" s="91"/>
      <c r="T554" s="712"/>
      <c r="U554" s="91"/>
      <c r="V554" s="123"/>
      <c r="W554" s="91"/>
      <c r="X554" s="91"/>
      <c r="Y554" s="91"/>
      <c r="Z554" s="91"/>
    </row>
    <row r="555" spans="1:26" s="144" customFormat="1" ht="12.75" customHeight="1" x14ac:dyDescent="0.25">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25">
      <c r="A556" s="91"/>
      <c r="B556" s="94"/>
      <c r="D556" s="173">
        <v>1</v>
      </c>
      <c r="E556" s="174" t="str">
        <f t="shared" ref="E556:E565" si="62">IF(INDEX(CNTR_List_ExistProdProcNames,S556)=CONST_NA,"",INDEX(CNTR_List_ExistProdProcNames,S556))</f>
        <v/>
      </c>
      <c r="F556" s="175"/>
      <c r="G556" s="175"/>
      <c r="H556" s="175"/>
      <c r="I556" s="175"/>
      <c r="J556" s="176"/>
      <c r="K556" s="155" t="str">
        <f>IF(E556="","",K553)</f>
        <v/>
      </c>
      <c r="L556" s="29"/>
      <c r="O556" s="945"/>
      <c r="P556" s="94"/>
      <c r="Q556" s="93"/>
      <c r="R556" s="102" t="str">
        <f>CONST_PrecursorToGoodInput&amp;G542 &amp;"_"&amp;E556</f>
        <v>PrecToGood__</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25">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25">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25">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25">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25">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25">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25">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25">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25">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25">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25">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
      <c r="A568" s="91"/>
      <c r="B568" s="94"/>
      <c r="O568" s="428"/>
      <c r="P568" s="94"/>
      <c r="Q568" s="93"/>
      <c r="R568" s="91"/>
      <c r="S568" s="91"/>
      <c r="T568" s="712"/>
      <c r="U568" s="91"/>
      <c r="V568" s="91"/>
      <c r="W568" s="91"/>
      <c r="X568" s="91"/>
      <c r="Y568" s="91"/>
      <c r="Z568" s="91"/>
    </row>
    <row r="569" spans="1:26" ht="12.75" customHeight="1" x14ac:dyDescent="0.25">
      <c r="B569" s="94"/>
      <c r="C569" s="187"/>
      <c r="D569" s="188"/>
      <c r="E569" s="189"/>
      <c r="F569" s="190"/>
      <c r="G569" s="190"/>
      <c r="H569" s="190"/>
      <c r="I569" s="190"/>
      <c r="J569" s="190"/>
      <c r="K569" s="190"/>
      <c r="L569" s="190"/>
      <c r="M569" s="190"/>
      <c r="N569" s="191"/>
      <c r="O569" s="428"/>
      <c r="T569" s="712"/>
    </row>
    <row r="570" spans="1:26" ht="15" customHeight="1" x14ac:dyDescent="0.25">
      <c r="B570" s="94"/>
      <c r="C570" s="192"/>
      <c r="D570" s="193" t="str">
        <f>Translations!$B$279</f>
        <v>Specific embedded emissions:</v>
      </c>
      <c r="E570" s="194"/>
      <c r="F570" s="195"/>
      <c r="G570" s="195"/>
      <c r="H570" s="195"/>
      <c r="I570" s="195"/>
      <c r="J570" s="1327" t="str">
        <f>IF(G542="","",G542)</f>
        <v/>
      </c>
      <c r="K570" s="1327"/>
      <c r="L570" s="1327"/>
      <c r="M570" s="1327"/>
      <c r="N570" s="196"/>
      <c r="O570" s="428"/>
      <c r="T570" s="712"/>
    </row>
    <row r="571" spans="1:26" ht="5.0999999999999996" customHeight="1" x14ac:dyDescent="0.25">
      <c r="B571" s="94"/>
      <c r="C571" s="192"/>
      <c r="D571" s="197"/>
      <c r="E571" s="198"/>
      <c r="F571" s="195"/>
      <c r="G571" s="195"/>
      <c r="H571" s="195"/>
      <c r="I571" s="195"/>
      <c r="J571" s="195"/>
      <c r="K571" s="195"/>
      <c r="L571" s="195"/>
      <c r="M571" s="195"/>
      <c r="N571" s="196"/>
      <c r="O571" s="428"/>
      <c r="T571" s="712"/>
    </row>
    <row r="572" spans="1:26" ht="12.75" customHeight="1" x14ac:dyDescent="0.25">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000000000000004" customHeight="1" x14ac:dyDescent="0.25">
      <c r="B573" s="94"/>
      <c r="C573" s="192"/>
      <c r="D573" s="199"/>
      <c r="E573" s="1326"/>
      <c r="F573" s="1326"/>
      <c r="G573" s="1326"/>
      <c r="H573" s="1326"/>
      <c r="I573" s="1326"/>
      <c r="J573" s="1326"/>
      <c r="K573" s="1326"/>
      <c r="L573" s="1326"/>
      <c r="M573" s="1326"/>
      <c r="N573" s="196"/>
      <c r="O573" s="428"/>
      <c r="T573" s="712"/>
    </row>
    <row r="574" spans="1:26" ht="13.15" customHeight="1" x14ac:dyDescent="0.25">
      <c r="B574" s="94"/>
      <c r="C574" s="192"/>
      <c r="D574" s="199"/>
      <c r="E574" s="1318" t="str">
        <f ca="1">HYPERLINK("#"&amp;ADDRESS(MATCH($S574,G_FurtherGuidance!$S:$S,0),3,,,G_FurtherGuidance!$U$2),CONST_LinkToGuidanceSheet)</f>
        <v>Please click on this link for further guidance on how to complete this section.</v>
      </c>
      <c r="F574" s="1319"/>
      <c r="G574" s="1319"/>
      <c r="H574" s="1319"/>
      <c r="I574" s="1319"/>
      <c r="J574" s="1319"/>
      <c r="K574" s="1319"/>
      <c r="L574" s="1319"/>
      <c r="M574" s="1319"/>
      <c r="N574" s="196"/>
      <c r="O574" s="428"/>
      <c r="R574" s="104" t="s">
        <v>2771</v>
      </c>
      <c r="S574" s="105">
        <v>4</v>
      </c>
      <c r="T574" s="712"/>
    </row>
    <row r="575" spans="1:26" ht="4.9000000000000004" customHeight="1" x14ac:dyDescent="0.25">
      <c r="B575" s="94"/>
      <c r="C575" s="192"/>
      <c r="D575" s="199"/>
      <c r="E575" s="1326"/>
      <c r="F575" s="1326"/>
      <c r="G575" s="1326"/>
      <c r="H575" s="1326"/>
      <c r="I575" s="1326"/>
      <c r="J575" s="1326"/>
      <c r="K575" s="1326"/>
      <c r="L575" s="1326"/>
      <c r="M575" s="1326"/>
      <c r="N575" s="384"/>
      <c r="O575" s="428"/>
      <c r="T575" s="712"/>
    </row>
    <row r="576" spans="1:26" ht="12.75" customHeight="1" x14ac:dyDescent="0.25">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25">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25">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25">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25">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25">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25">
      <c r="B582" s="94"/>
      <c r="C582" s="192"/>
      <c r="D582" s="197" t="s">
        <v>45</v>
      </c>
      <c r="E582" s="201" t="str">
        <f>Translations!$B$1858</f>
        <v>Justification for use of default values (if relevant):</v>
      </c>
      <c r="F582" s="201"/>
      <c r="G582" s="201"/>
      <c r="H582" s="201"/>
      <c r="I582" s="201"/>
      <c r="J582" s="201"/>
      <c r="K582" s="1325"/>
      <c r="L582" s="1325"/>
      <c r="M582" s="1325"/>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
      <c r="A584" s="91"/>
      <c r="B584" s="94"/>
      <c r="O584" s="428"/>
      <c r="P584" s="94"/>
      <c r="Q584" s="93"/>
      <c r="R584" s="91"/>
      <c r="S584" s="91"/>
      <c r="T584" s="712"/>
      <c r="U584" s="91"/>
      <c r="V584" s="91"/>
      <c r="W584" s="91"/>
      <c r="X584" s="91"/>
      <c r="Y584" s="91"/>
      <c r="Z584" s="91"/>
    </row>
    <row r="585" spans="1:26" s="144" customFormat="1" ht="12.75" customHeight="1" thickBot="1" x14ac:dyDescent="0.3">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
      <c r="B586" s="94"/>
      <c r="C586" s="147">
        <f>C542+1</f>
        <v>14</v>
      </c>
      <c r="D586" s="944" t="str">
        <f>CONST_PurchPrecursor &amp; " " &amp; C586 &amp; ":"</f>
        <v>Purchased precursor 14:</v>
      </c>
      <c r="E586" s="144"/>
      <c r="F586" s="144"/>
      <c r="G586" s="1310" t="str">
        <f>IF(INDEX(CNTR_List_ExistPurchPrecNames,MATCH(R586,CNTR_ListPurchPrecID,0))=CONST_NA,"",INDEX(CNTR_List_ExistPurchPrecNames,MATCH(R586,CNTR_ListPurchPrecID,0)))</f>
        <v/>
      </c>
      <c r="H586" s="1311"/>
      <c r="I586" s="1311"/>
      <c r="J586" s="1311"/>
      <c r="K586" s="1312"/>
      <c r="L586" s="1313" t="str">
        <f>IF(INDEX(CNTR_List_ExistPurchPrec,MATCH(R586,CNTR_ListPurchPrecID,0))=CONST_NA,"",INDEX(CNTR_List_ExistPurchPrec,MATCH(R586,CNTR_ListPurchPrecID,0)))</f>
        <v/>
      </c>
      <c r="M586" s="1314"/>
      <c r="N586" s="1315"/>
      <c r="O586" s="428"/>
      <c r="R586" s="149" t="str">
        <f>INDEX(CNTR_ListPurchPrecID,C586)</f>
        <v>PP14</v>
      </c>
      <c r="Y586" s="104" t="s">
        <v>2748</v>
      </c>
      <c r="Z586" s="150" t="b">
        <f>AND(CNTR_HasEntriesA,G586="")</f>
        <v>0</v>
      </c>
    </row>
    <row r="587" spans="1:26" ht="26.45" customHeight="1" x14ac:dyDescent="0.25">
      <c r="B587" s="94"/>
      <c r="C587" s="144"/>
      <c r="D587" s="914"/>
      <c r="E587" s="1341" t="str">
        <f ca="1">HYPERLINK("#"&amp;ADDRESS(MATCH($S587,G_FurtherGuidance!$S:$S,0),3,,,G_FurtherGuidance!$U$2),CONST_LinkToGuidanceSheet)</f>
        <v>Please click on this link for further guidance on how to complete this section.</v>
      </c>
      <c r="F587" s="1342"/>
      <c r="G587" s="1342"/>
      <c r="H587" s="1342"/>
      <c r="I587" s="1342"/>
      <c r="J587" s="1342"/>
      <c r="K587" s="1342"/>
      <c r="L587" s="1342"/>
      <c r="M587" s="1342"/>
      <c r="N587" s="144"/>
      <c r="O587" s="428"/>
      <c r="R587" s="104" t="s">
        <v>2771</v>
      </c>
      <c r="S587" s="105">
        <v>4</v>
      </c>
      <c r="Y587" s="104"/>
    </row>
    <row r="588" spans="1:26" ht="12.75" customHeight="1" x14ac:dyDescent="0.25">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25">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25">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25">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25">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25">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25">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25">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25">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25">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25">
      <c r="A598" s="91"/>
      <c r="B598" s="94"/>
      <c r="D598" s="166"/>
      <c r="E598" s="167"/>
      <c r="O598" s="428"/>
      <c r="P598" s="94"/>
      <c r="Q598" s="93"/>
      <c r="R598" s="91"/>
      <c r="S598" s="91"/>
      <c r="T598" s="712"/>
      <c r="U598" s="91"/>
      <c r="V598" s="123"/>
      <c r="W598" s="91"/>
      <c r="X598" s="91"/>
      <c r="Y598" s="91"/>
      <c r="Z598" s="91"/>
    </row>
    <row r="599" spans="1:26" s="144" customFormat="1" ht="12.75" customHeight="1" x14ac:dyDescent="0.25">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25">
      <c r="A600" s="91"/>
      <c r="B600" s="94"/>
      <c r="D600" s="173">
        <v>1</v>
      </c>
      <c r="E600" s="174" t="str">
        <f t="shared" ref="E600:E609" si="67">IF(INDEX(CNTR_List_ExistProdProcNames,S600)=CONST_NA,"",INDEX(CNTR_List_ExistProdProcNames,S600))</f>
        <v/>
      </c>
      <c r="F600" s="175"/>
      <c r="G600" s="175"/>
      <c r="H600" s="175"/>
      <c r="I600" s="175"/>
      <c r="J600" s="176"/>
      <c r="K600" s="155" t="str">
        <f>IF(E600="","",K597)</f>
        <v/>
      </c>
      <c r="L600" s="29"/>
      <c r="O600" s="945"/>
      <c r="P600" s="94"/>
      <c r="Q600" s="93"/>
      <c r="R600" s="102" t="str">
        <f>CONST_PrecursorToGoodInput&amp;G586 &amp;"_"&amp;E600</f>
        <v>PrecToGood__</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25">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25">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25">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25">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25">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25">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25">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25">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25">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25">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25">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
      <c r="A612" s="91"/>
      <c r="B612" s="94"/>
      <c r="O612" s="428"/>
      <c r="P612" s="94"/>
      <c r="Q612" s="93"/>
      <c r="R612" s="91"/>
      <c r="S612" s="91"/>
      <c r="T612" s="712"/>
      <c r="U612" s="91"/>
      <c r="V612" s="91"/>
      <c r="W612" s="91"/>
      <c r="X612" s="91"/>
      <c r="Y612" s="91"/>
      <c r="Z612" s="91"/>
    </row>
    <row r="613" spans="1:26" ht="12.75" customHeight="1" x14ac:dyDescent="0.25">
      <c r="B613" s="94"/>
      <c r="C613" s="187"/>
      <c r="D613" s="188"/>
      <c r="E613" s="189"/>
      <c r="F613" s="190"/>
      <c r="G613" s="190"/>
      <c r="H613" s="190"/>
      <c r="I613" s="190"/>
      <c r="J613" s="190"/>
      <c r="K613" s="190"/>
      <c r="L613" s="190"/>
      <c r="M613" s="190"/>
      <c r="N613" s="191"/>
      <c r="O613" s="428"/>
      <c r="T613" s="712"/>
    </row>
    <row r="614" spans="1:26" ht="15" customHeight="1" x14ac:dyDescent="0.25">
      <c r="B614" s="94"/>
      <c r="C614" s="192"/>
      <c r="D614" s="193" t="str">
        <f>Translations!$B$279</f>
        <v>Specific embedded emissions:</v>
      </c>
      <c r="E614" s="194"/>
      <c r="F614" s="195"/>
      <c r="G614" s="195"/>
      <c r="H614" s="195"/>
      <c r="I614" s="195"/>
      <c r="J614" s="1327" t="str">
        <f>IF(G586="","",G586)</f>
        <v/>
      </c>
      <c r="K614" s="1327"/>
      <c r="L614" s="1327"/>
      <c r="M614" s="1327"/>
      <c r="N614" s="196"/>
      <c r="O614" s="428"/>
      <c r="T614" s="712"/>
    </row>
    <row r="615" spans="1:26" ht="5.0999999999999996" customHeight="1" x14ac:dyDescent="0.25">
      <c r="B615" s="94"/>
      <c r="C615" s="192"/>
      <c r="D615" s="197"/>
      <c r="E615" s="198"/>
      <c r="F615" s="195"/>
      <c r="G615" s="195"/>
      <c r="H615" s="195"/>
      <c r="I615" s="195"/>
      <c r="J615" s="195"/>
      <c r="K615" s="195"/>
      <c r="L615" s="195"/>
      <c r="M615" s="195"/>
      <c r="N615" s="196"/>
      <c r="O615" s="428"/>
      <c r="T615" s="712"/>
    </row>
    <row r="616" spans="1:26" ht="12.75" customHeight="1" x14ac:dyDescent="0.25">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000000000000004" customHeight="1" x14ac:dyDescent="0.25">
      <c r="B617" s="94"/>
      <c r="C617" s="192"/>
      <c r="D617" s="199"/>
      <c r="E617" s="1326"/>
      <c r="F617" s="1326"/>
      <c r="G617" s="1326"/>
      <c r="H617" s="1326"/>
      <c r="I617" s="1326"/>
      <c r="J617" s="1326"/>
      <c r="K617" s="1326"/>
      <c r="L617" s="1326"/>
      <c r="M617" s="1326"/>
      <c r="N617" s="196"/>
      <c r="O617" s="428"/>
      <c r="T617" s="712"/>
    </row>
    <row r="618" spans="1:26" ht="13.15" customHeight="1" x14ac:dyDescent="0.25">
      <c r="B618" s="94"/>
      <c r="C618" s="192"/>
      <c r="D618" s="199"/>
      <c r="E618" s="1318" t="str">
        <f ca="1">HYPERLINK("#"&amp;ADDRESS(MATCH($S618,G_FurtherGuidance!$S:$S,0),3,,,G_FurtherGuidance!$U$2),CONST_LinkToGuidanceSheet)</f>
        <v>Please click on this link for further guidance on how to complete this section.</v>
      </c>
      <c r="F618" s="1319"/>
      <c r="G618" s="1319"/>
      <c r="H618" s="1319"/>
      <c r="I618" s="1319"/>
      <c r="J618" s="1319"/>
      <c r="K618" s="1319"/>
      <c r="L618" s="1319"/>
      <c r="M618" s="1319"/>
      <c r="N618" s="196"/>
      <c r="O618" s="428"/>
      <c r="R618" s="104" t="s">
        <v>2771</v>
      </c>
      <c r="S618" s="105">
        <v>4</v>
      </c>
      <c r="T618" s="712"/>
    </row>
    <row r="619" spans="1:26" ht="4.9000000000000004" customHeight="1" x14ac:dyDescent="0.25">
      <c r="B619" s="94"/>
      <c r="C619" s="192"/>
      <c r="D619" s="199"/>
      <c r="E619" s="1326"/>
      <c r="F619" s="1326"/>
      <c r="G619" s="1326"/>
      <c r="H619" s="1326"/>
      <c r="I619" s="1326"/>
      <c r="J619" s="1326"/>
      <c r="K619" s="1326"/>
      <c r="L619" s="1326"/>
      <c r="M619" s="1326"/>
      <c r="N619" s="384"/>
      <c r="O619" s="428"/>
      <c r="T619" s="712"/>
    </row>
    <row r="620" spans="1:26" ht="12.75" customHeight="1" x14ac:dyDescent="0.25">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25">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25">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25">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25">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25">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25">
      <c r="B626" s="94"/>
      <c r="C626" s="192"/>
      <c r="D626" s="197" t="s">
        <v>45</v>
      </c>
      <c r="E626" s="201" t="str">
        <f>Translations!$B$1858</f>
        <v>Justification for use of default values (if relevant):</v>
      </c>
      <c r="F626" s="201"/>
      <c r="G626" s="201"/>
      <c r="H626" s="201"/>
      <c r="I626" s="201"/>
      <c r="J626" s="201"/>
      <c r="K626" s="1325"/>
      <c r="L626" s="1325"/>
      <c r="M626" s="1325"/>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
      <c r="A628" s="91"/>
      <c r="B628" s="94"/>
      <c r="O628" s="428"/>
      <c r="P628" s="94"/>
      <c r="Q628" s="93"/>
      <c r="R628" s="91"/>
      <c r="S628" s="91"/>
      <c r="T628" s="712"/>
      <c r="U628" s="91"/>
      <c r="V628" s="91"/>
      <c r="W628" s="91"/>
      <c r="X628" s="91"/>
      <c r="Y628" s="91"/>
      <c r="Z628" s="91"/>
    </row>
    <row r="629" spans="1:26" s="144" customFormat="1" ht="12.75" customHeight="1" thickBot="1" x14ac:dyDescent="0.3">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
      <c r="B630" s="94"/>
      <c r="C630" s="147">
        <f>C586+1</f>
        <v>15</v>
      </c>
      <c r="D630" s="944" t="str">
        <f>CONST_PurchPrecursor &amp; " " &amp; C630 &amp; ":"</f>
        <v>Purchased precursor 15:</v>
      </c>
      <c r="E630" s="144"/>
      <c r="F630" s="144"/>
      <c r="G630" s="1310" t="str">
        <f>IF(INDEX(CNTR_List_ExistPurchPrecNames,MATCH(R630,CNTR_ListPurchPrecID,0))=CONST_NA,"",INDEX(CNTR_List_ExistPurchPrecNames,MATCH(R630,CNTR_ListPurchPrecID,0)))</f>
        <v/>
      </c>
      <c r="H630" s="1311"/>
      <c r="I630" s="1311"/>
      <c r="J630" s="1311"/>
      <c r="K630" s="1312"/>
      <c r="L630" s="1313" t="str">
        <f>IF(INDEX(CNTR_List_ExistPurchPrec,MATCH(R630,CNTR_ListPurchPrecID,0))=CONST_NA,"",INDEX(CNTR_List_ExistPurchPrec,MATCH(R630,CNTR_ListPurchPrecID,0)))</f>
        <v/>
      </c>
      <c r="M630" s="1314"/>
      <c r="N630" s="1315"/>
      <c r="O630" s="428"/>
      <c r="R630" s="149" t="str">
        <f>INDEX(CNTR_ListPurchPrecID,C630)</f>
        <v>PP15</v>
      </c>
      <c r="Y630" s="104" t="s">
        <v>2748</v>
      </c>
      <c r="Z630" s="150" t="b">
        <f>AND(CNTR_HasEntriesA,G630="")</f>
        <v>0</v>
      </c>
    </row>
    <row r="631" spans="1:26" ht="26.45" customHeight="1" x14ac:dyDescent="0.25">
      <c r="B631" s="94"/>
      <c r="C631" s="144"/>
      <c r="D631" s="914"/>
      <c r="E631" s="1341" t="str">
        <f ca="1">HYPERLINK("#"&amp;ADDRESS(MATCH($S631,G_FurtherGuidance!$S:$S,0),3,,,G_FurtherGuidance!$U$2),CONST_LinkToGuidanceSheet)</f>
        <v>Please click on this link for further guidance on how to complete this section.</v>
      </c>
      <c r="F631" s="1342"/>
      <c r="G631" s="1342"/>
      <c r="H631" s="1342"/>
      <c r="I631" s="1342"/>
      <c r="J631" s="1342"/>
      <c r="K631" s="1342"/>
      <c r="L631" s="1342"/>
      <c r="M631" s="1342"/>
      <c r="N631" s="144"/>
      <c r="O631" s="428"/>
      <c r="R631" s="104" t="s">
        <v>2771</v>
      </c>
      <c r="S631" s="105">
        <v>4</v>
      </c>
      <c r="Y631" s="104"/>
    </row>
    <row r="632" spans="1:26" ht="12.75" customHeight="1" x14ac:dyDescent="0.25">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25">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25">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25">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25">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25">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25">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25">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25">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25">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25">
      <c r="A642" s="91"/>
      <c r="B642" s="94"/>
      <c r="D642" s="166"/>
      <c r="E642" s="167"/>
      <c r="O642" s="428"/>
      <c r="P642" s="94"/>
      <c r="Q642" s="93"/>
      <c r="R642" s="91"/>
      <c r="S642" s="91"/>
      <c r="T642" s="712"/>
      <c r="U642" s="91"/>
      <c r="V642" s="123"/>
      <c r="W642" s="91"/>
      <c r="X642" s="91"/>
      <c r="Y642" s="91"/>
      <c r="Z642" s="91"/>
    </row>
    <row r="643" spans="1:26" s="144" customFormat="1" ht="12.75" customHeight="1" x14ac:dyDescent="0.25">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25">
      <c r="A644" s="91"/>
      <c r="B644" s="94"/>
      <c r="D644" s="173">
        <v>1</v>
      </c>
      <c r="E644" s="174" t="str">
        <f t="shared" ref="E644:E653" si="72">IF(INDEX(CNTR_List_ExistProdProcNames,S644)=CONST_NA,"",INDEX(CNTR_List_ExistProdProcNames,S644))</f>
        <v/>
      </c>
      <c r="F644" s="175"/>
      <c r="G644" s="175"/>
      <c r="H644" s="175"/>
      <c r="I644" s="175"/>
      <c r="J644" s="176"/>
      <c r="K644" s="155" t="str">
        <f>IF(E644="","",K641)</f>
        <v/>
      </c>
      <c r="L644" s="29"/>
      <c r="O644" s="945"/>
      <c r="P644" s="94"/>
      <c r="Q644" s="93"/>
      <c r="R644" s="102" t="str">
        <f>CONST_PrecursorToGoodInput&amp;G630 &amp;"_"&amp;E644</f>
        <v>PrecToGood__</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25">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25">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25">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25">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25">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25">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25">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25">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25">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25">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25">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
      <c r="A656" s="91"/>
      <c r="B656" s="94"/>
      <c r="O656" s="428"/>
      <c r="P656" s="94"/>
      <c r="Q656" s="93"/>
      <c r="R656" s="91"/>
      <c r="S656" s="91"/>
      <c r="T656" s="712"/>
      <c r="U656" s="91"/>
      <c r="V656" s="91"/>
      <c r="W656" s="91"/>
      <c r="X656" s="91"/>
      <c r="Y656" s="91"/>
      <c r="Z656" s="91"/>
    </row>
    <row r="657" spans="1:26" ht="12.75" customHeight="1" x14ac:dyDescent="0.25">
      <c r="B657" s="94"/>
      <c r="C657" s="187"/>
      <c r="D657" s="188"/>
      <c r="E657" s="189"/>
      <c r="F657" s="190"/>
      <c r="G657" s="190"/>
      <c r="H657" s="190"/>
      <c r="I657" s="190"/>
      <c r="J657" s="190"/>
      <c r="K657" s="190"/>
      <c r="L657" s="190"/>
      <c r="M657" s="190"/>
      <c r="N657" s="191"/>
      <c r="O657" s="428"/>
      <c r="T657" s="712"/>
    </row>
    <row r="658" spans="1:26" ht="15" customHeight="1" x14ac:dyDescent="0.25">
      <c r="B658" s="94"/>
      <c r="C658" s="192"/>
      <c r="D658" s="193" t="str">
        <f>Translations!$B$279</f>
        <v>Specific embedded emissions:</v>
      </c>
      <c r="E658" s="194"/>
      <c r="F658" s="195"/>
      <c r="G658" s="195"/>
      <c r="H658" s="195"/>
      <c r="I658" s="195"/>
      <c r="J658" s="1327" t="str">
        <f>IF(G630="","",G630)</f>
        <v/>
      </c>
      <c r="K658" s="1327"/>
      <c r="L658" s="1327"/>
      <c r="M658" s="1327"/>
      <c r="N658" s="196"/>
      <c r="O658" s="428"/>
      <c r="T658" s="712"/>
    </row>
    <row r="659" spans="1:26" ht="5.0999999999999996" customHeight="1" x14ac:dyDescent="0.25">
      <c r="B659" s="94"/>
      <c r="C659" s="192"/>
      <c r="D659" s="197"/>
      <c r="E659" s="198"/>
      <c r="F659" s="195"/>
      <c r="G659" s="195"/>
      <c r="H659" s="195"/>
      <c r="I659" s="195"/>
      <c r="J659" s="195"/>
      <c r="K659" s="195"/>
      <c r="L659" s="195"/>
      <c r="M659" s="195"/>
      <c r="N659" s="196"/>
      <c r="O659" s="428"/>
      <c r="T659" s="712"/>
    </row>
    <row r="660" spans="1:26" ht="12.75" customHeight="1" x14ac:dyDescent="0.25">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000000000000004" customHeight="1" x14ac:dyDescent="0.25">
      <c r="B661" s="94"/>
      <c r="C661" s="192"/>
      <c r="D661" s="199"/>
      <c r="E661" s="1326"/>
      <c r="F661" s="1326"/>
      <c r="G661" s="1326"/>
      <c r="H661" s="1326"/>
      <c r="I661" s="1326"/>
      <c r="J661" s="1326"/>
      <c r="K661" s="1326"/>
      <c r="L661" s="1326"/>
      <c r="M661" s="1326"/>
      <c r="N661" s="196"/>
      <c r="O661" s="428"/>
      <c r="T661" s="712"/>
    </row>
    <row r="662" spans="1:26" ht="13.15" customHeight="1" x14ac:dyDescent="0.25">
      <c r="B662" s="94"/>
      <c r="C662" s="192"/>
      <c r="D662" s="199"/>
      <c r="E662" s="1318" t="str">
        <f ca="1">HYPERLINK("#"&amp;ADDRESS(MATCH($S662,G_FurtherGuidance!$S:$S,0),3,,,G_FurtherGuidance!$U$2),CONST_LinkToGuidanceSheet)</f>
        <v>Please click on this link for further guidance on how to complete this section.</v>
      </c>
      <c r="F662" s="1319"/>
      <c r="G662" s="1319"/>
      <c r="H662" s="1319"/>
      <c r="I662" s="1319"/>
      <c r="J662" s="1319"/>
      <c r="K662" s="1319"/>
      <c r="L662" s="1319"/>
      <c r="M662" s="1319"/>
      <c r="N662" s="196"/>
      <c r="O662" s="428"/>
      <c r="R662" s="104" t="s">
        <v>2771</v>
      </c>
      <c r="S662" s="105">
        <v>4</v>
      </c>
      <c r="T662" s="712"/>
    </row>
    <row r="663" spans="1:26" ht="4.9000000000000004" customHeight="1" x14ac:dyDescent="0.25">
      <c r="B663" s="94"/>
      <c r="C663" s="192"/>
      <c r="D663" s="199"/>
      <c r="E663" s="1326"/>
      <c r="F663" s="1326"/>
      <c r="G663" s="1326"/>
      <c r="H663" s="1326"/>
      <c r="I663" s="1326"/>
      <c r="J663" s="1326"/>
      <c r="K663" s="1326"/>
      <c r="L663" s="1326"/>
      <c r="M663" s="1326"/>
      <c r="N663" s="384"/>
      <c r="O663" s="428"/>
      <c r="T663" s="712"/>
    </row>
    <row r="664" spans="1:26" ht="12.75" customHeight="1" x14ac:dyDescent="0.25">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25">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25">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25">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25">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25">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25">
      <c r="B670" s="94"/>
      <c r="C670" s="192"/>
      <c r="D670" s="197" t="s">
        <v>45</v>
      </c>
      <c r="E670" s="201" t="str">
        <f>Translations!$B$1858</f>
        <v>Justification for use of default values (if relevant):</v>
      </c>
      <c r="F670" s="201"/>
      <c r="G670" s="201"/>
      <c r="H670" s="201"/>
      <c r="I670" s="201"/>
      <c r="J670" s="201"/>
      <c r="K670" s="1325"/>
      <c r="L670" s="1325"/>
      <c r="M670" s="1325"/>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
      <c r="A672" s="91"/>
      <c r="B672" s="94"/>
      <c r="O672" s="428"/>
      <c r="P672" s="94"/>
      <c r="Q672" s="93"/>
      <c r="R672" s="91"/>
      <c r="S672" s="91"/>
      <c r="T672" s="712"/>
      <c r="U672" s="91"/>
      <c r="V672" s="91"/>
      <c r="W672" s="91"/>
      <c r="X672" s="91"/>
      <c r="Y672" s="91"/>
      <c r="Z672" s="91"/>
    </row>
    <row r="673" spans="1:26" s="144" customFormat="1" ht="12.75" customHeight="1" thickBot="1" x14ac:dyDescent="0.3">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
      <c r="B674" s="94"/>
      <c r="C674" s="147">
        <f>C630+1</f>
        <v>16</v>
      </c>
      <c r="D674" s="944" t="str">
        <f>CONST_PurchPrecursor &amp; " " &amp; C674 &amp; ":"</f>
        <v>Purchased precursor 16:</v>
      </c>
      <c r="E674" s="144"/>
      <c r="F674" s="144"/>
      <c r="G674" s="1310" t="str">
        <f>IF(INDEX(CNTR_List_ExistPurchPrecNames,MATCH(R674,CNTR_ListPurchPrecID,0))=CONST_NA,"",INDEX(CNTR_List_ExistPurchPrecNames,MATCH(R674,CNTR_ListPurchPrecID,0)))</f>
        <v/>
      </c>
      <c r="H674" s="1311"/>
      <c r="I674" s="1311"/>
      <c r="J674" s="1311"/>
      <c r="K674" s="1312"/>
      <c r="L674" s="1313" t="str">
        <f>IF(INDEX(CNTR_List_ExistPurchPrec,MATCH(R674,CNTR_ListPurchPrecID,0))=CONST_NA,"",INDEX(CNTR_List_ExistPurchPrec,MATCH(R674,CNTR_ListPurchPrecID,0)))</f>
        <v/>
      </c>
      <c r="M674" s="1314"/>
      <c r="N674" s="1315"/>
      <c r="O674" s="428"/>
      <c r="R674" s="149" t="str">
        <f>INDEX(CNTR_ListPurchPrecID,C674)</f>
        <v>PP16</v>
      </c>
      <c r="Y674" s="104" t="s">
        <v>2748</v>
      </c>
      <c r="Z674" s="150" t="b">
        <f>AND(CNTR_HasEntriesA,G674="")</f>
        <v>0</v>
      </c>
    </row>
    <row r="675" spans="1:26" ht="26.45" customHeight="1" x14ac:dyDescent="0.25">
      <c r="B675" s="94"/>
      <c r="C675" s="144"/>
      <c r="D675" s="914"/>
      <c r="E675" s="1341" t="str">
        <f ca="1">HYPERLINK("#"&amp;ADDRESS(MATCH($S675,G_FurtherGuidance!$S:$S,0),3,,,G_FurtherGuidance!$U$2),CONST_LinkToGuidanceSheet)</f>
        <v>Please click on this link for further guidance on how to complete this section.</v>
      </c>
      <c r="F675" s="1342"/>
      <c r="G675" s="1342"/>
      <c r="H675" s="1342"/>
      <c r="I675" s="1342"/>
      <c r="J675" s="1342"/>
      <c r="K675" s="1342"/>
      <c r="L675" s="1342"/>
      <c r="M675" s="1342"/>
      <c r="N675" s="144"/>
      <c r="O675" s="428"/>
      <c r="R675" s="104" t="s">
        <v>2771</v>
      </c>
      <c r="S675" s="105">
        <v>4</v>
      </c>
      <c r="Y675" s="104"/>
    </row>
    <row r="676" spans="1:26" ht="12.75" customHeight="1" x14ac:dyDescent="0.25">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25">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25">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25">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25">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25">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25">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25">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25">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25">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25">
      <c r="A686" s="91"/>
      <c r="B686" s="94"/>
      <c r="D686" s="166"/>
      <c r="E686" s="167"/>
      <c r="O686" s="428"/>
      <c r="P686" s="94"/>
      <c r="Q686" s="93"/>
      <c r="R686" s="91"/>
      <c r="S686" s="91"/>
      <c r="T686" s="712"/>
      <c r="U686" s="91"/>
      <c r="V686" s="123"/>
      <c r="W686" s="91"/>
      <c r="X686" s="91"/>
      <c r="Y686" s="91"/>
      <c r="Z686" s="91"/>
    </row>
    <row r="687" spans="1:26" s="144" customFormat="1" ht="12.75" customHeight="1" x14ac:dyDescent="0.25">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25">
      <c r="A688" s="91"/>
      <c r="B688" s="94"/>
      <c r="D688" s="173">
        <v>1</v>
      </c>
      <c r="E688" s="174" t="str">
        <f t="shared" ref="E688:E697" si="77">IF(INDEX(CNTR_List_ExistProdProcNames,S688)=CONST_NA,"",INDEX(CNTR_List_ExistProdProcNames,S688))</f>
        <v/>
      </c>
      <c r="F688" s="175"/>
      <c r="G688" s="175"/>
      <c r="H688" s="175"/>
      <c r="I688" s="175"/>
      <c r="J688" s="176"/>
      <c r="K688" s="155" t="str">
        <f>IF(E688="","",K685)</f>
        <v/>
      </c>
      <c r="L688" s="29"/>
      <c r="O688" s="945"/>
      <c r="P688" s="94"/>
      <c r="Q688" s="93"/>
      <c r="R688" s="102" t="str">
        <f>CONST_PrecursorToGoodInput&amp;G674 &amp;"_"&amp;E688</f>
        <v>PrecToGood__</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25">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25">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25">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25">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25">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25">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25">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25">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25">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25">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25">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
      <c r="A700" s="91"/>
      <c r="B700" s="94"/>
      <c r="O700" s="428"/>
      <c r="P700" s="94"/>
      <c r="Q700" s="93"/>
      <c r="R700" s="91"/>
      <c r="S700" s="91"/>
      <c r="T700" s="712"/>
      <c r="U700" s="91"/>
      <c r="V700" s="91"/>
      <c r="W700" s="91"/>
      <c r="X700" s="91"/>
      <c r="Y700" s="91"/>
      <c r="Z700" s="91"/>
    </row>
    <row r="701" spans="1:26" ht="12.75" customHeight="1" x14ac:dyDescent="0.25">
      <c r="B701" s="94"/>
      <c r="C701" s="187"/>
      <c r="D701" s="188"/>
      <c r="E701" s="189"/>
      <c r="F701" s="190"/>
      <c r="G701" s="190"/>
      <c r="H701" s="190"/>
      <c r="I701" s="190"/>
      <c r="J701" s="190"/>
      <c r="K701" s="190"/>
      <c r="L701" s="190"/>
      <c r="M701" s="190"/>
      <c r="N701" s="191"/>
      <c r="O701" s="428"/>
      <c r="T701" s="712"/>
    </row>
    <row r="702" spans="1:26" ht="15" customHeight="1" x14ac:dyDescent="0.25">
      <c r="B702" s="94"/>
      <c r="C702" s="192"/>
      <c r="D702" s="193" t="str">
        <f>Translations!$B$279</f>
        <v>Specific embedded emissions:</v>
      </c>
      <c r="E702" s="194"/>
      <c r="F702" s="195"/>
      <c r="G702" s="195"/>
      <c r="H702" s="195"/>
      <c r="I702" s="195"/>
      <c r="J702" s="1327" t="str">
        <f>IF(G674="","",G674)</f>
        <v/>
      </c>
      <c r="K702" s="1327"/>
      <c r="L702" s="1327"/>
      <c r="M702" s="1327"/>
      <c r="N702" s="196"/>
      <c r="O702" s="428"/>
      <c r="T702" s="712"/>
    </row>
    <row r="703" spans="1:26" ht="5.0999999999999996" customHeight="1" x14ac:dyDescent="0.25">
      <c r="B703" s="94"/>
      <c r="C703" s="192"/>
      <c r="D703" s="197"/>
      <c r="E703" s="198"/>
      <c r="F703" s="195"/>
      <c r="G703" s="195"/>
      <c r="H703" s="195"/>
      <c r="I703" s="195"/>
      <c r="J703" s="195"/>
      <c r="K703" s="195"/>
      <c r="L703" s="195"/>
      <c r="M703" s="195"/>
      <c r="N703" s="196"/>
      <c r="O703" s="428"/>
      <c r="T703" s="712"/>
    </row>
    <row r="704" spans="1:26" ht="12.75" customHeight="1" x14ac:dyDescent="0.25">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000000000000004" customHeight="1" x14ac:dyDescent="0.25">
      <c r="B705" s="94"/>
      <c r="C705" s="192"/>
      <c r="D705" s="199"/>
      <c r="E705" s="1326"/>
      <c r="F705" s="1326"/>
      <c r="G705" s="1326"/>
      <c r="H705" s="1326"/>
      <c r="I705" s="1326"/>
      <c r="J705" s="1326"/>
      <c r="K705" s="1326"/>
      <c r="L705" s="1326"/>
      <c r="M705" s="1326"/>
      <c r="N705" s="196"/>
      <c r="O705" s="428"/>
      <c r="T705" s="712"/>
    </row>
    <row r="706" spans="1:26" ht="13.15" customHeight="1" x14ac:dyDescent="0.25">
      <c r="B706" s="94"/>
      <c r="C706" s="192"/>
      <c r="D706" s="199"/>
      <c r="E706" s="1318" t="str">
        <f ca="1">HYPERLINK("#"&amp;ADDRESS(MATCH($S706,G_FurtherGuidance!$S:$S,0),3,,,G_FurtherGuidance!$U$2),CONST_LinkToGuidanceSheet)</f>
        <v>Please click on this link for further guidance on how to complete this section.</v>
      </c>
      <c r="F706" s="1319"/>
      <c r="G706" s="1319"/>
      <c r="H706" s="1319"/>
      <c r="I706" s="1319"/>
      <c r="J706" s="1319"/>
      <c r="K706" s="1319"/>
      <c r="L706" s="1319"/>
      <c r="M706" s="1319"/>
      <c r="N706" s="196"/>
      <c r="O706" s="428"/>
      <c r="R706" s="104" t="s">
        <v>2771</v>
      </c>
      <c r="S706" s="105">
        <v>4</v>
      </c>
      <c r="T706" s="712"/>
    </row>
    <row r="707" spans="1:26" ht="4.9000000000000004" customHeight="1" x14ac:dyDescent="0.25">
      <c r="B707" s="94"/>
      <c r="C707" s="192"/>
      <c r="D707" s="199"/>
      <c r="E707" s="1326"/>
      <c r="F707" s="1326"/>
      <c r="G707" s="1326"/>
      <c r="H707" s="1326"/>
      <c r="I707" s="1326"/>
      <c r="J707" s="1326"/>
      <c r="K707" s="1326"/>
      <c r="L707" s="1326"/>
      <c r="M707" s="1326"/>
      <c r="N707" s="384"/>
      <c r="O707" s="428"/>
      <c r="T707" s="712"/>
    </row>
    <row r="708" spans="1:26" ht="12.75" customHeight="1" x14ac:dyDescent="0.25">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25">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25">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25">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25">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25">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25">
      <c r="B714" s="94"/>
      <c r="C714" s="192"/>
      <c r="D714" s="197" t="s">
        <v>45</v>
      </c>
      <c r="E714" s="201" t="str">
        <f>Translations!$B$1858</f>
        <v>Justification for use of default values (if relevant):</v>
      </c>
      <c r="F714" s="201"/>
      <c r="G714" s="201"/>
      <c r="H714" s="201"/>
      <c r="I714" s="201"/>
      <c r="J714" s="201"/>
      <c r="K714" s="1325"/>
      <c r="L714" s="1325"/>
      <c r="M714" s="1325"/>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
      <c r="A716" s="91"/>
      <c r="B716" s="94"/>
      <c r="O716" s="428"/>
      <c r="P716" s="94"/>
      <c r="Q716" s="93"/>
      <c r="R716" s="91"/>
      <c r="S716" s="91"/>
      <c r="T716" s="712"/>
      <c r="U716" s="91"/>
      <c r="V716" s="91"/>
      <c r="W716" s="91"/>
      <c r="X716" s="91"/>
      <c r="Y716" s="91"/>
      <c r="Z716" s="91"/>
    </row>
    <row r="717" spans="1:26" s="144" customFormat="1" ht="12.75" customHeight="1" thickBot="1" x14ac:dyDescent="0.3">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
      <c r="B718" s="94"/>
      <c r="C718" s="147">
        <f>C674+1</f>
        <v>17</v>
      </c>
      <c r="D718" s="944" t="str">
        <f>CONST_PurchPrecursor &amp; " " &amp; C718 &amp; ":"</f>
        <v>Purchased precursor 17:</v>
      </c>
      <c r="E718" s="144"/>
      <c r="F718" s="144"/>
      <c r="G718" s="1310" t="str">
        <f>IF(INDEX(CNTR_List_ExistPurchPrecNames,MATCH(R718,CNTR_ListPurchPrecID,0))=CONST_NA,"",INDEX(CNTR_List_ExistPurchPrecNames,MATCH(R718,CNTR_ListPurchPrecID,0)))</f>
        <v/>
      </c>
      <c r="H718" s="1311"/>
      <c r="I718" s="1311"/>
      <c r="J718" s="1311"/>
      <c r="K718" s="1312"/>
      <c r="L718" s="1313" t="str">
        <f>IF(INDEX(CNTR_List_ExistPurchPrec,MATCH(R718,CNTR_ListPurchPrecID,0))=CONST_NA,"",INDEX(CNTR_List_ExistPurchPrec,MATCH(R718,CNTR_ListPurchPrecID,0)))</f>
        <v/>
      </c>
      <c r="M718" s="1314"/>
      <c r="N718" s="1315"/>
      <c r="O718" s="428"/>
      <c r="R718" s="149" t="str">
        <f>INDEX(CNTR_ListPurchPrecID,C718)</f>
        <v>PP17</v>
      </c>
      <c r="Y718" s="104" t="s">
        <v>2748</v>
      </c>
      <c r="Z718" s="150" t="b">
        <f>AND(CNTR_HasEntriesA,G718="")</f>
        <v>0</v>
      </c>
    </row>
    <row r="719" spans="1:26" ht="26.45" customHeight="1" x14ac:dyDescent="0.25">
      <c r="B719" s="94"/>
      <c r="C719" s="144"/>
      <c r="D719" s="914"/>
      <c r="E719" s="1341" t="str">
        <f ca="1">HYPERLINK("#"&amp;ADDRESS(MATCH($S719,G_FurtherGuidance!$S:$S,0),3,,,G_FurtherGuidance!$U$2),CONST_LinkToGuidanceSheet)</f>
        <v>Please click on this link for further guidance on how to complete this section.</v>
      </c>
      <c r="F719" s="1342"/>
      <c r="G719" s="1342"/>
      <c r="H719" s="1342"/>
      <c r="I719" s="1342"/>
      <c r="J719" s="1342"/>
      <c r="K719" s="1342"/>
      <c r="L719" s="1342"/>
      <c r="M719" s="1342"/>
      <c r="N719" s="144"/>
      <c r="O719" s="428"/>
      <c r="R719" s="104" t="s">
        <v>2771</v>
      </c>
      <c r="S719" s="105">
        <v>4</v>
      </c>
      <c r="Y719" s="104"/>
    </row>
    <row r="720" spans="1:26" ht="12.75" customHeight="1" x14ac:dyDescent="0.25">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25">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25">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25">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25">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25">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25">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25">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25">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25">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25">
      <c r="A730" s="91"/>
      <c r="B730" s="94"/>
      <c r="D730" s="166"/>
      <c r="E730" s="167"/>
      <c r="O730" s="428"/>
      <c r="P730" s="94"/>
      <c r="Q730" s="93"/>
      <c r="R730" s="91"/>
      <c r="S730" s="91"/>
      <c r="T730" s="712"/>
      <c r="U730" s="91"/>
      <c r="V730" s="123"/>
      <c r="W730" s="91"/>
      <c r="X730" s="91"/>
      <c r="Y730" s="91"/>
      <c r="Z730" s="91"/>
    </row>
    <row r="731" spans="1:26" s="144" customFormat="1" ht="12.75" customHeight="1" x14ac:dyDescent="0.25">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25">
      <c r="A732" s="91"/>
      <c r="B732" s="94"/>
      <c r="D732" s="173">
        <v>1</v>
      </c>
      <c r="E732" s="174" t="str">
        <f t="shared" ref="E732:E741" si="82">IF(INDEX(CNTR_List_ExistProdProcNames,S732)=CONST_NA,"",INDEX(CNTR_List_ExistProdProcNames,S732))</f>
        <v/>
      </c>
      <c r="F732" s="175"/>
      <c r="G732" s="175"/>
      <c r="H732" s="175"/>
      <c r="I732" s="175"/>
      <c r="J732" s="176"/>
      <c r="K732" s="155" t="str">
        <f>IF(E732="","",K729)</f>
        <v/>
      </c>
      <c r="L732" s="29"/>
      <c r="O732" s="945"/>
      <c r="P732" s="94"/>
      <c r="Q732" s="93"/>
      <c r="R732" s="102" t="str">
        <f>CONST_PrecursorToGoodInput&amp;G718 &amp;"_"&amp;E732</f>
        <v>PrecToGood__</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25">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25">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25">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25">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25">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25">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25">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25">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25">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25">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25">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
      <c r="A744" s="91"/>
      <c r="B744" s="94"/>
      <c r="O744" s="428"/>
      <c r="P744" s="94"/>
      <c r="Q744" s="93"/>
      <c r="R744" s="91"/>
      <c r="S744" s="91"/>
      <c r="T744" s="712"/>
      <c r="U744" s="91"/>
      <c r="V744" s="91"/>
      <c r="W744" s="91"/>
      <c r="X744" s="91"/>
      <c r="Y744" s="91"/>
      <c r="Z744" s="91"/>
    </row>
    <row r="745" spans="1:26" ht="12.75" customHeight="1" x14ac:dyDescent="0.25">
      <c r="B745" s="94"/>
      <c r="C745" s="187"/>
      <c r="D745" s="188"/>
      <c r="E745" s="189"/>
      <c r="F745" s="190"/>
      <c r="G745" s="190"/>
      <c r="H745" s="190"/>
      <c r="I745" s="190"/>
      <c r="J745" s="190"/>
      <c r="K745" s="190"/>
      <c r="L745" s="190"/>
      <c r="M745" s="190"/>
      <c r="N745" s="191"/>
      <c r="O745" s="428"/>
      <c r="T745" s="712"/>
    </row>
    <row r="746" spans="1:26" ht="15" customHeight="1" x14ac:dyDescent="0.25">
      <c r="B746" s="94"/>
      <c r="C746" s="192"/>
      <c r="D746" s="193" t="str">
        <f>Translations!$B$279</f>
        <v>Specific embedded emissions:</v>
      </c>
      <c r="E746" s="194"/>
      <c r="F746" s="195"/>
      <c r="G746" s="195"/>
      <c r="H746" s="195"/>
      <c r="I746" s="195"/>
      <c r="J746" s="1327" t="str">
        <f>IF(G718="","",G718)</f>
        <v/>
      </c>
      <c r="K746" s="1327"/>
      <c r="L746" s="1327"/>
      <c r="M746" s="1327"/>
      <c r="N746" s="196"/>
      <c r="O746" s="428"/>
      <c r="T746" s="712"/>
    </row>
    <row r="747" spans="1:26" ht="5.0999999999999996" customHeight="1" x14ac:dyDescent="0.25">
      <c r="B747" s="94"/>
      <c r="C747" s="192"/>
      <c r="D747" s="197"/>
      <c r="E747" s="198"/>
      <c r="F747" s="195"/>
      <c r="G747" s="195"/>
      <c r="H747" s="195"/>
      <c r="I747" s="195"/>
      <c r="J747" s="195"/>
      <c r="K747" s="195"/>
      <c r="L747" s="195"/>
      <c r="M747" s="195"/>
      <c r="N747" s="196"/>
      <c r="O747" s="428"/>
      <c r="T747" s="712"/>
    </row>
    <row r="748" spans="1:26" ht="12.75" customHeight="1" x14ac:dyDescent="0.25">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000000000000004" customHeight="1" x14ac:dyDescent="0.25">
      <c r="B749" s="94"/>
      <c r="C749" s="192"/>
      <c r="D749" s="199"/>
      <c r="E749" s="1326"/>
      <c r="F749" s="1326"/>
      <c r="G749" s="1326"/>
      <c r="H749" s="1326"/>
      <c r="I749" s="1326"/>
      <c r="J749" s="1326"/>
      <c r="K749" s="1326"/>
      <c r="L749" s="1326"/>
      <c r="M749" s="1326"/>
      <c r="N749" s="196"/>
      <c r="O749" s="428"/>
      <c r="T749" s="712"/>
    </row>
    <row r="750" spans="1:26" ht="13.15" customHeight="1" x14ac:dyDescent="0.25">
      <c r="B750" s="94"/>
      <c r="C750" s="192"/>
      <c r="D750" s="199"/>
      <c r="E750" s="1318" t="str">
        <f ca="1">HYPERLINK("#"&amp;ADDRESS(MATCH($S750,G_FurtherGuidance!$S:$S,0),3,,,G_FurtherGuidance!$U$2),CONST_LinkToGuidanceSheet)</f>
        <v>Please click on this link for further guidance on how to complete this section.</v>
      </c>
      <c r="F750" s="1319"/>
      <c r="G750" s="1319"/>
      <c r="H750" s="1319"/>
      <c r="I750" s="1319"/>
      <c r="J750" s="1319"/>
      <c r="K750" s="1319"/>
      <c r="L750" s="1319"/>
      <c r="M750" s="1319"/>
      <c r="N750" s="196"/>
      <c r="O750" s="428"/>
      <c r="R750" s="104" t="s">
        <v>2771</v>
      </c>
      <c r="S750" s="105">
        <v>4</v>
      </c>
      <c r="T750" s="712"/>
    </row>
    <row r="751" spans="1:26" ht="4.9000000000000004" customHeight="1" x14ac:dyDescent="0.25">
      <c r="B751" s="94"/>
      <c r="C751" s="192"/>
      <c r="D751" s="199"/>
      <c r="E751" s="1326"/>
      <c r="F751" s="1326"/>
      <c r="G751" s="1326"/>
      <c r="H751" s="1326"/>
      <c r="I751" s="1326"/>
      <c r="J751" s="1326"/>
      <c r="K751" s="1326"/>
      <c r="L751" s="1326"/>
      <c r="M751" s="1326"/>
      <c r="N751" s="384"/>
      <c r="O751" s="428"/>
      <c r="T751" s="712"/>
    </row>
    <row r="752" spans="1:26" ht="12.75" customHeight="1" x14ac:dyDescent="0.25">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25">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25">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25">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25">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25">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25">
      <c r="B758" s="94"/>
      <c r="C758" s="192"/>
      <c r="D758" s="197" t="s">
        <v>45</v>
      </c>
      <c r="E758" s="201" t="str">
        <f>Translations!$B$1858</f>
        <v>Justification for use of default values (if relevant):</v>
      </c>
      <c r="F758" s="201"/>
      <c r="G758" s="201"/>
      <c r="H758" s="201"/>
      <c r="I758" s="201"/>
      <c r="J758" s="201"/>
      <c r="K758" s="1325"/>
      <c r="L758" s="1325"/>
      <c r="M758" s="1325"/>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
      <c r="A760" s="91"/>
      <c r="B760" s="94"/>
      <c r="O760" s="428"/>
      <c r="P760" s="94"/>
      <c r="Q760" s="93"/>
      <c r="R760" s="91"/>
      <c r="S760" s="91"/>
      <c r="T760" s="712"/>
      <c r="U760" s="91"/>
      <c r="V760" s="91"/>
      <c r="W760" s="91"/>
      <c r="X760" s="91"/>
      <c r="Y760" s="91"/>
      <c r="Z760" s="91"/>
    </row>
    <row r="761" spans="1:26" s="144" customFormat="1" ht="12.75" customHeight="1" thickBot="1" x14ac:dyDescent="0.3">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
      <c r="B762" s="94"/>
      <c r="C762" s="147">
        <f>C718+1</f>
        <v>18</v>
      </c>
      <c r="D762" s="944" t="str">
        <f>CONST_PurchPrecursor &amp; " " &amp; C762 &amp; ":"</f>
        <v>Purchased precursor 18:</v>
      </c>
      <c r="E762" s="144"/>
      <c r="F762" s="144"/>
      <c r="G762" s="1310" t="str">
        <f>IF(INDEX(CNTR_List_ExistPurchPrecNames,MATCH(R762,CNTR_ListPurchPrecID,0))=CONST_NA,"",INDEX(CNTR_List_ExistPurchPrecNames,MATCH(R762,CNTR_ListPurchPrecID,0)))</f>
        <v/>
      </c>
      <c r="H762" s="1311"/>
      <c r="I762" s="1311"/>
      <c r="J762" s="1311"/>
      <c r="K762" s="1312"/>
      <c r="L762" s="1313" t="str">
        <f>IF(INDEX(CNTR_List_ExistPurchPrec,MATCH(R762,CNTR_ListPurchPrecID,0))=CONST_NA,"",INDEX(CNTR_List_ExistPurchPrec,MATCH(R762,CNTR_ListPurchPrecID,0)))</f>
        <v/>
      </c>
      <c r="M762" s="1314"/>
      <c r="N762" s="1315"/>
      <c r="O762" s="428"/>
      <c r="R762" s="149" t="str">
        <f>INDEX(CNTR_ListPurchPrecID,C762)</f>
        <v>PP18</v>
      </c>
      <c r="Y762" s="104" t="s">
        <v>2748</v>
      </c>
      <c r="Z762" s="150" t="b">
        <f>AND(CNTR_HasEntriesA,G762="")</f>
        <v>0</v>
      </c>
    </row>
    <row r="763" spans="1:26" ht="26.45" customHeight="1" x14ac:dyDescent="0.25">
      <c r="B763" s="94"/>
      <c r="C763" s="144"/>
      <c r="D763" s="914"/>
      <c r="E763" s="1341" t="str">
        <f ca="1">HYPERLINK("#"&amp;ADDRESS(MATCH($S763,G_FurtherGuidance!$S:$S,0),3,,,G_FurtherGuidance!$U$2),CONST_LinkToGuidanceSheet)</f>
        <v>Please click on this link for further guidance on how to complete this section.</v>
      </c>
      <c r="F763" s="1342"/>
      <c r="G763" s="1342"/>
      <c r="H763" s="1342"/>
      <c r="I763" s="1342"/>
      <c r="J763" s="1342"/>
      <c r="K763" s="1342"/>
      <c r="L763" s="1342"/>
      <c r="M763" s="1342"/>
      <c r="N763" s="144"/>
      <c r="O763" s="428"/>
      <c r="R763" s="104" t="s">
        <v>2771</v>
      </c>
      <c r="S763" s="105">
        <v>4</v>
      </c>
      <c r="Y763" s="104"/>
    </row>
    <row r="764" spans="1:26" ht="12.75" customHeight="1" x14ac:dyDescent="0.25">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25">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25">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25">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25">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25">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25">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25">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25">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25">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25">
      <c r="A774" s="91"/>
      <c r="B774" s="94"/>
      <c r="D774" s="166"/>
      <c r="E774" s="167"/>
      <c r="O774" s="428"/>
      <c r="P774" s="94"/>
      <c r="Q774" s="93"/>
      <c r="R774" s="91"/>
      <c r="S774" s="91"/>
      <c r="T774" s="712"/>
      <c r="U774" s="91"/>
      <c r="V774" s="123"/>
      <c r="W774" s="91"/>
      <c r="X774" s="91"/>
      <c r="Y774" s="91"/>
      <c r="Z774" s="91"/>
    </row>
    <row r="775" spans="1:26" s="144" customFormat="1" ht="12.75" customHeight="1" x14ac:dyDescent="0.25">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25">
      <c r="A776" s="91"/>
      <c r="B776" s="94"/>
      <c r="D776" s="173">
        <v>1</v>
      </c>
      <c r="E776" s="174" t="str">
        <f t="shared" ref="E776:E785" si="87">IF(INDEX(CNTR_List_ExistProdProcNames,S776)=CONST_NA,"",INDEX(CNTR_List_ExistProdProcNames,S776))</f>
        <v/>
      </c>
      <c r="F776" s="175"/>
      <c r="G776" s="175"/>
      <c r="H776" s="175"/>
      <c r="I776" s="175"/>
      <c r="J776" s="176"/>
      <c r="K776" s="155" t="str">
        <f>IF(E776="","",K773)</f>
        <v/>
      </c>
      <c r="L776" s="29"/>
      <c r="O776" s="945"/>
      <c r="P776" s="94"/>
      <c r="Q776" s="93"/>
      <c r="R776" s="102" t="str">
        <f>CONST_PrecursorToGoodInput&amp;G762 &amp;"_"&amp;E776</f>
        <v>PrecToGood__</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25">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25">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25">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25">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25">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25">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25">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25">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25">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25">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25">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
      <c r="A788" s="91"/>
      <c r="B788" s="94"/>
      <c r="O788" s="428"/>
      <c r="P788" s="94"/>
      <c r="Q788" s="93"/>
      <c r="R788" s="91"/>
      <c r="S788" s="91"/>
      <c r="T788" s="712"/>
      <c r="U788" s="91"/>
      <c r="V788" s="91"/>
      <c r="W788" s="91"/>
      <c r="X788" s="91"/>
      <c r="Y788" s="91"/>
      <c r="Z788" s="91"/>
    </row>
    <row r="789" spans="1:26" ht="12.75" customHeight="1" x14ac:dyDescent="0.25">
      <c r="B789" s="94"/>
      <c r="C789" s="187"/>
      <c r="D789" s="188"/>
      <c r="E789" s="189"/>
      <c r="F789" s="190"/>
      <c r="G789" s="190"/>
      <c r="H789" s="190"/>
      <c r="I789" s="190"/>
      <c r="J789" s="190"/>
      <c r="K789" s="190"/>
      <c r="L789" s="190"/>
      <c r="M789" s="190"/>
      <c r="N789" s="191"/>
      <c r="O789" s="428"/>
      <c r="T789" s="712"/>
    </row>
    <row r="790" spans="1:26" ht="15" customHeight="1" x14ac:dyDescent="0.25">
      <c r="B790" s="94"/>
      <c r="C790" s="192"/>
      <c r="D790" s="193" t="str">
        <f>Translations!$B$279</f>
        <v>Specific embedded emissions:</v>
      </c>
      <c r="E790" s="194"/>
      <c r="F790" s="195"/>
      <c r="G790" s="195"/>
      <c r="H790" s="195"/>
      <c r="I790" s="195"/>
      <c r="J790" s="1327" t="str">
        <f>IF(G762="","",G762)</f>
        <v/>
      </c>
      <c r="K790" s="1327"/>
      <c r="L790" s="1327"/>
      <c r="M790" s="1327"/>
      <c r="N790" s="196"/>
      <c r="O790" s="428"/>
      <c r="T790" s="712"/>
    </row>
    <row r="791" spans="1:26" ht="5.0999999999999996" customHeight="1" x14ac:dyDescent="0.25">
      <c r="B791" s="94"/>
      <c r="C791" s="192"/>
      <c r="D791" s="197"/>
      <c r="E791" s="198"/>
      <c r="F791" s="195"/>
      <c r="G791" s="195"/>
      <c r="H791" s="195"/>
      <c r="I791" s="195"/>
      <c r="J791" s="195"/>
      <c r="K791" s="195"/>
      <c r="L791" s="195"/>
      <c r="M791" s="195"/>
      <c r="N791" s="196"/>
      <c r="O791" s="428"/>
      <c r="T791" s="712"/>
    </row>
    <row r="792" spans="1:26" ht="12.75" customHeight="1" x14ac:dyDescent="0.25">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000000000000004" customHeight="1" x14ac:dyDescent="0.25">
      <c r="B793" s="94"/>
      <c r="C793" s="192"/>
      <c r="D793" s="199"/>
      <c r="E793" s="1326"/>
      <c r="F793" s="1326"/>
      <c r="G793" s="1326"/>
      <c r="H793" s="1326"/>
      <c r="I793" s="1326"/>
      <c r="J793" s="1326"/>
      <c r="K793" s="1326"/>
      <c r="L793" s="1326"/>
      <c r="M793" s="1326"/>
      <c r="N793" s="196"/>
      <c r="O793" s="428"/>
      <c r="T793" s="712"/>
    </row>
    <row r="794" spans="1:26" ht="13.15" customHeight="1" x14ac:dyDescent="0.25">
      <c r="B794" s="94"/>
      <c r="C794" s="192"/>
      <c r="D794" s="199"/>
      <c r="E794" s="1318" t="str">
        <f ca="1">HYPERLINK("#"&amp;ADDRESS(MATCH($S794,G_FurtherGuidance!$S:$S,0),3,,,G_FurtherGuidance!$U$2),CONST_LinkToGuidanceSheet)</f>
        <v>Please click on this link for further guidance on how to complete this section.</v>
      </c>
      <c r="F794" s="1319"/>
      <c r="G794" s="1319"/>
      <c r="H794" s="1319"/>
      <c r="I794" s="1319"/>
      <c r="J794" s="1319"/>
      <c r="K794" s="1319"/>
      <c r="L794" s="1319"/>
      <c r="M794" s="1319"/>
      <c r="N794" s="196"/>
      <c r="O794" s="428"/>
      <c r="R794" s="104" t="s">
        <v>2771</v>
      </c>
      <c r="S794" s="105">
        <v>4</v>
      </c>
      <c r="T794" s="712"/>
    </row>
    <row r="795" spans="1:26" ht="4.9000000000000004" customHeight="1" x14ac:dyDescent="0.25">
      <c r="B795" s="94"/>
      <c r="C795" s="192"/>
      <c r="D795" s="199"/>
      <c r="E795" s="1326"/>
      <c r="F795" s="1326"/>
      <c r="G795" s="1326"/>
      <c r="H795" s="1326"/>
      <c r="I795" s="1326"/>
      <c r="J795" s="1326"/>
      <c r="K795" s="1326"/>
      <c r="L795" s="1326"/>
      <c r="M795" s="1326"/>
      <c r="N795" s="384"/>
      <c r="O795" s="428"/>
      <c r="T795" s="712"/>
    </row>
    <row r="796" spans="1:26" ht="12.75" customHeight="1" x14ac:dyDescent="0.25">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25">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25">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25">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25">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25">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25">
      <c r="B802" s="94"/>
      <c r="C802" s="192"/>
      <c r="D802" s="197" t="s">
        <v>45</v>
      </c>
      <c r="E802" s="201" t="str">
        <f>Translations!$B$1858</f>
        <v>Justification for use of default values (if relevant):</v>
      </c>
      <c r="F802" s="201"/>
      <c r="G802" s="201"/>
      <c r="H802" s="201"/>
      <c r="I802" s="201"/>
      <c r="J802" s="201"/>
      <c r="K802" s="1325"/>
      <c r="L802" s="1325"/>
      <c r="M802" s="1325"/>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
      <c r="A804" s="91"/>
      <c r="B804" s="94"/>
      <c r="O804" s="428"/>
      <c r="P804" s="94"/>
      <c r="Q804" s="93"/>
      <c r="R804" s="91"/>
      <c r="S804" s="91"/>
      <c r="T804" s="712"/>
      <c r="U804" s="91"/>
      <c r="V804" s="91"/>
      <c r="W804" s="91"/>
      <c r="X804" s="91"/>
      <c r="Y804" s="91"/>
      <c r="Z804" s="91"/>
    </row>
    <row r="805" spans="1:26" s="144" customFormat="1" ht="12.75" customHeight="1" thickBot="1" x14ac:dyDescent="0.3">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
      <c r="B806" s="94"/>
      <c r="C806" s="147">
        <f>C762+1</f>
        <v>19</v>
      </c>
      <c r="D806" s="944" t="str">
        <f>CONST_PurchPrecursor &amp; " " &amp; C806 &amp; ":"</f>
        <v>Purchased precursor 19:</v>
      </c>
      <c r="E806" s="144"/>
      <c r="F806" s="144"/>
      <c r="G806" s="1310" t="str">
        <f>IF(INDEX(CNTR_List_ExistPurchPrecNames,MATCH(R806,CNTR_ListPurchPrecID,0))=CONST_NA,"",INDEX(CNTR_List_ExistPurchPrecNames,MATCH(R806,CNTR_ListPurchPrecID,0)))</f>
        <v/>
      </c>
      <c r="H806" s="1311"/>
      <c r="I806" s="1311"/>
      <c r="J806" s="1311"/>
      <c r="K806" s="1312"/>
      <c r="L806" s="1313" t="str">
        <f>IF(INDEX(CNTR_List_ExistPurchPrec,MATCH(R806,CNTR_ListPurchPrecID,0))=CONST_NA,"",INDEX(CNTR_List_ExistPurchPrec,MATCH(R806,CNTR_ListPurchPrecID,0)))</f>
        <v/>
      </c>
      <c r="M806" s="1314"/>
      <c r="N806" s="1315"/>
      <c r="O806" s="428"/>
      <c r="R806" s="149" t="str">
        <f>INDEX(CNTR_ListPurchPrecID,C806)</f>
        <v>PP19</v>
      </c>
      <c r="Y806" s="104" t="s">
        <v>2748</v>
      </c>
      <c r="Z806" s="150" t="b">
        <f>AND(CNTR_HasEntriesA,G806="")</f>
        <v>0</v>
      </c>
    </row>
    <row r="807" spans="1:26" ht="26.45" customHeight="1" x14ac:dyDescent="0.25">
      <c r="B807" s="94"/>
      <c r="C807" s="144"/>
      <c r="D807" s="914"/>
      <c r="E807" s="1341" t="str">
        <f ca="1">HYPERLINK("#"&amp;ADDRESS(MATCH($S807,G_FurtherGuidance!$S:$S,0),3,,,G_FurtherGuidance!$U$2),CONST_LinkToGuidanceSheet)</f>
        <v>Please click on this link for further guidance on how to complete this section.</v>
      </c>
      <c r="F807" s="1342"/>
      <c r="G807" s="1342"/>
      <c r="H807" s="1342"/>
      <c r="I807" s="1342"/>
      <c r="J807" s="1342"/>
      <c r="K807" s="1342"/>
      <c r="L807" s="1342"/>
      <c r="M807" s="1342"/>
      <c r="N807" s="144"/>
      <c r="O807" s="428"/>
      <c r="R807" s="104" t="s">
        <v>2771</v>
      </c>
      <c r="S807" s="105">
        <v>4</v>
      </c>
      <c r="Y807" s="104"/>
    </row>
    <row r="808" spans="1:26" ht="12.75" customHeight="1" x14ac:dyDescent="0.25">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25">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25">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25">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25">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25">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25">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25">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25">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25">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25">
      <c r="A818" s="91"/>
      <c r="B818" s="94"/>
      <c r="D818" s="166"/>
      <c r="E818" s="167"/>
      <c r="O818" s="428"/>
      <c r="P818" s="94"/>
      <c r="Q818" s="93"/>
      <c r="R818" s="91"/>
      <c r="S818" s="91"/>
      <c r="T818" s="712"/>
      <c r="U818" s="91"/>
      <c r="V818" s="123"/>
      <c r="W818" s="91"/>
      <c r="X818" s="91"/>
      <c r="Y818" s="91"/>
      <c r="Z818" s="91"/>
    </row>
    <row r="819" spans="1:26" s="144" customFormat="1" ht="12.75" customHeight="1" x14ac:dyDescent="0.25">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25">
      <c r="A820" s="91"/>
      <c r="B820" s="94"/>
      <c r="D820" s="173">
        <v>1</v>
      </c>
      <c r="E820" s="174" t="str">
        <f t="shared" ref="E820:E829" si="92">IF(INDEX(CNTR_List_ExistProdProcNames,S820)=CONST_NA,"",INDEX(CNTR_List_ExistProdProcNames,S820))</f>
        <v/>
      </c>
      <c r="F820" s="175"/>
      <c r="G820" s="175"/>
      <c r="H820" s="175"/>
      <c r="I820" s="175"/>
      <c r="J820" s="176"/>
      <c r="K820" s="155" t="str">
        <f>IF(E820="","",K817)</f>
        <v/>
      </c>
      <c r="L820" s="29"/>
      <c r="O820" s="945"/>
      <c r="P820" s="94"/>
      <c r="Q820" s="93"/>
      <c r="R820" s="102" t="str">
        <f>CONST_PrecursorToGoodInput&amp;G806 &amp;"_"&amp;E820</f>
        <v>PrecToGood__</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25">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25">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25">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25">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25">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25">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25">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25">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25">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25">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25">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
      <c r="A832" s="91"/>
      <c r="B832" s="94"/>
      <c r="O832" s="428"/>
      <c r="P832" s="94"/>
      <c r="Q832" s="93"/>
      <c r="R832" s="91"/>
      <c r="S832" s="91"/>
      <c r="T832" s="712"/>
      <c r="U832" s="91"/>
      <c r="V832" s="91"/>
      <c r="W832" s="91"/>
      <c r="X832" s="91"/>
      <c r="Y832" s="91"/>
      <c r="Z832" s="91"/>
    </row>
    <row r="833" spans="1:26" ht="12.75" customHeight="1" x14ac:dyDescent="0.25">
      <c r="B833" s="94"/>
      <c r="C833" s="187"/>
      <c r="D833" s="188"/>
      <c r="E833" s="189"/>
      <c r="F833" s="190"/>
      <c r="G833" s="190"/>
      <c r="H833" s="190"/>
      <c r="I833" s="190"/>
      <c r="J833" s="190"/>
      <c r="K833" s="190"/>
      <c r="L833" s="190"/>
      <c r="M833" s="190"/>
      <c r="N833" s="191"/>
      <c r="O833" s="428"/>
      <c r="T833" s="712"/>
    </row>
    <row r="834" spans="1:26" ht="15" customHeight="1" x14ac:dyDescent="0.25">
      <c r="B834" s="94"/>
      <c r="C834" s="192"/>
      <c r="D834" s="193" t="str">
        <f>Translations!$B$279</f>
        <v>Specific embedded emissions:</v>
      </c>
      <c r="E834" s="194"/>
      <c r="F834" s="195"/>
      <c r="G834" s="195"/>
      <c r="H834" s="195"/>
      <c r="I834" s="195"/>
      <c r="J834" s="1327" t="str">
        <f>IF(G806="","",G806)</f>
        <v/>
      </c>
      <c r="K834" s="1327"/>
      <c r="L834" s="1327"/>
      <c r="M834" s="1327"/>
      <c r="N834" s="196"/>
      <c r="O834" s="428"/>
      <c r="T834" s="712"/>
    </row>
    <row r="835" spans="1:26" ht="5.0999999999999996" customHeight="1" x14ac:dyDescent="0.25">
      <c r="B835" s="94"/>
      <c r="C835" s="192"/>
      <c r="D835" s="197"/>
      <c r="E835" s="198"/>
      <c r="F835" s="195"/>
      <c r="G835" s="195"/>
      <c r="H835" s="195"/>
      <c r="I835" s="195"/>
      <c r="J835" s="195"/>
      <c r="K835" s="195"/>
      <c r="L835" s="195"/>
      <c r="M835" s="195"/>
      <c r="N835" s="196"/>
      <c r="O835" s="428"/>
      <c r="T835" s="712"/>
    </row>
    <row r="836" spans="1:26" ht="12.75" customHeight="1" x14ac:dyDescent="0.25">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000000000000004" customHeight="1" x14ac:dyDescent="0.25">
      <c r="B837" s="94"/>
      <c r="C837" s="192"/>
      <c r="D837" s="199"/>
      <c r="E837" s="1326"/>
      <c r="F837" s="1326"/>
      <c r="G837" s="1326"/>
      <c r="H837" s="1326"/>
      <c r="I837" s="1326"/>
      <c r="J837" s="1326"/>
      <c r="K837" s="1326"/>
      <c r="L837" s="1326"/>
      <c r="M837" s="1326"/>
      <c r="N837" s="196"/>
      <c r="O837" s="428"/>
      <c r="T837" s="712"/>
    </row>
    <row r="838" spans="1:26" ht="13.15" customHeight="1" x14ac:dyDescent="0.25">
      <c r="B838" s="94"/>
      <c r="C838" s="192"/>
      <c r="D838" s="199"/>
      <c r="E838" s="1318" t="str">
        <f ca="1">HYPERLINK("#"&amp;ADDRESS(MATCH($S838,G_FurtherGuidance!$S:$S,0),3,,,G_FurtherGuidance!$U$2),CONST_LinkToGuidanceSheet)</f>
        <v>Please click on this link for further guidance on how to complete this section.</v>
      </c>
      <c r="F838" s="1319"/>
      <c r="G838" s="1319"/>
      <c r="H838" s="1319"/>
      <c r="I838" s="1319"/>
      <c r="J838" s="1319"/>
      <c r="K838" s="1319"/>
      <c r="L838" s="1319"/>
      <c r="M838" s="1319"/>
      <c r="N838" s="196"/>
      <c r="O838" s="428"/>
      <c r="R838" s="104" t="s">
        <v>2771</v>
      </c>
      <c r="S838" s="105">
        <v>4</v>
      </c>
      <c r="T838" s="712"/>
    </row>
    <row r="839" spans="1:26" ht="4.9000000000000004" customHeight="1" x14ac:dyDescent="0.25">
      <c r="B839" s="94"/>
      <c r="C839" s="192"/>
      <c r="D839" s="199"/>
      <c r="E839" s="1326"/>
      <c r="F839" s="1326"/>
      <c r="G839" s="1326"/>
      <c r="H839" s="1326"/>
      <c r="I839" s="1326"/>
      <c r="J839" s="1326"/>
      <c r="K839" s="1326"/>
      <c r="L839" s="1326"/>
      <c r="M839" s="1326"/>
      <c r="N839" s="384"/>
      <c r="O839" s="428"/>
      <c r="T839" s="712"/>
    </row>
    <row r="840" spans="1:26" ht="12.75" customHeight="1" x14ac:dyDescent="0.25">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25">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25">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25">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25">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25">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25">
      <c r="B846" s="94"/>
      <c r="C846" s="192"/>
      <c r="D846" s="197" t="s">
        <v>45</v>
      </c>
      <c r="E846" s="201" t="str">
        <f>Translations!$B$1858</f>
        <v>Justification for use of default values (if relevant):</v>
      </c>
      <c r="F846" s="201"/>
      <c r="G846" s="201"/>
      <c r="H846" s="201"/>
      <c r="I846" s="201"/>
      <c r="J846" s="201"/>
      <c r="K846" s="1325"/>
      <c r="L846" s="1325"/>
      <c r="M846" s="1325"/>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
      <c r="A848" s="91"/>
      <c r="B848" s="94"/>
      <c r="O848" s="428"/>
      <c r="P848" s="94"/>
      <c r="Q848" s="93"/>
      <c r="R848" s="91"/>
      <c r="S848" s="91"/>
      <c r="T848" s="712"/>
      <c r="U848" s="91"/>
      <c r="V848" s="91"/>
      <c r="W848" s="91"/>
      <c r="X848" s="91"/>
      <c r="Y848" s="91"/>
      <c r="Z848" s="91"/>
    </row>
    <row r="849" spans="1:26" s="144" customFormat="1" ht="12.75" customHeight="1" thickBot="1" x14ac:dyDescent="0.3">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
      <c r="B850" s="94"/>
      <c r="C850" s="147">
        <f>C806+1</f>
        <v>20</v>
      </c>
      <c r="D850" s="944" t="str">
        <f>CONST_PurchPrecursor &amp; " " &amp; C850 &amp; ":"</f>
        <v>Purchased precursor 20:</v>
      </c>
      <c r="E850" s="144"/>
      <c r="F850" s="144"/>
      <c r="G850" s="1310" t="str">
        <f>IF(INDEX(CNTR_List_ExistPurchPrecNames,MATCH(R850,CNTR_ListPurchPrecID,0))=CONST_NA,"",INDEX(CNTR_List_ExistPurchPrecNames,MATCH(R850,CNTR_ListPurchPrecID,0)))</f>
        <v/>
      </c>
      <c r="H850" s="1311"/>
      <c r="I850" s="1311"/>
      <c r="J850" s="1311"/>
      <c r="K850" s="1312"/>
      <c r="L850" s="1313" t="str">
        <f>IF(INDEX(CNTR_List_ExistPurchPrec,MATCH(R850,CNTR_ListPurchPrecID,0))=CONST_NA,"",INDEX(CNTR_List_ExistPurchPrec,MATCH(R850,CNTR_ListPurchPrecID,0)))</f>
        <v/>
      </c>
      <c r="M850" s="1314"/>
      <c r="N850" s="1315"/>
      <c r="O850" s="428"/>
      <c r="R850" s="149" t="str">
        <f>INDEX(CNTR_ListPurchPrecID,C850)</f>
        <v>PP20</v>
      </c>
      <c r="Y850" s="104" t="s">
        <v>2748</v>
      </c>
      <c r="Z850" s="150" t="b">
        <f>AND(CNTR_HasEntriesA,G850="")</f>
        <v>0</v>
      </c>
    </row>
    <row r="851" spans="1:26" ht="26.45" customHeight="1" x14ac:dyDescent="0.25">
      <c r="B851" s="94"/>
      <c r="C851" s="144"/>
      <c r="D851" s="914"/>
      <c r="E851" s="1341" t="str">
        <f ca="1">HYPERLINK("#"&amp;ADDRESS(MATCH($S851,G_FurtherGuidance!$S:$S,0),3,,,G_FurtherGuidance!$U$2),CONST_LinkToGuidanceSheet)</f>
        <v>Please click on this link for further guidance on how to complete this section.</v>
      </c>
      <c r="F851" s="1342"/>
      <c r="G851" s="1342"/>
      <c r="H851" s="1342"/>
      <c r="I851" s="1342"/>
      <c r="J851" s="1342"/>
      <c r="K851" s="1342"/>
      <c r="L851" s="1342"/>
      <c r="M851" s="1342"/>
      <c r="N851" s="144"/>
      <c r="O851" s="428"/>
      <c r="R851" s="104" t="s">
        <v>2771</v>
      </c>
      <c r="S851" s="105">
        <v>4</v>
      </c>
      <c r="Y851" s="104"/>
    </row>
    <row r="852" spans="1:26" ht="12.75" customHeight="1" x14ac:dyDescent="0.25">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25">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25">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25">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25">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25">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25">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25">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25">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25">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25">
      <c r="A862" s="91"/>
      <c r="B862" s="94"/>
      <c r="D862" s="166"/>
      <c r="E862" s="167"/>
      <c r="O862" s="428"/>
      <c r="P862" s="94"/>
      <c r="Q862" s="93"/>
      <c r="R862" s="91"/>
      <c r="S862" s="91"/>
      <c r="T862" s="712"/>
      <c r="U862" s="91"/>
      <c r="V862" s="123"/>
      <c r="W862" s="91"/>
      <c r="X862" s="91"/>
      <c r="Y862" s="91"/>
      <c r="Z862" s="91"/>
    </row>
    <row r="863" spans="1:26" s="144" customFormat="1" ht="12.75" customHeight="1" x14ac:dyDescent="0.25">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25">
      <c r="A864" s="91"/>
      <c r="B864" s="94"/>
      <c r="D864" s="173">
        <v>1</v>
      </c>
      <c r="E864" s="174" t="str">
        <f t="shared" ref="E864:E873" si="97">IF(INDEX(CNTR_List_ExistProdProcNames,S864)=CONST_NA,"",INDEX(CNTR_List_ExistProdProcNames,S864))</f>
        <v/>
      </c>
      <c r="F864" s="175"/>
      <c r="G864" s="175"/>
      <c r="H864" s="175"/>
      <c r="I864" s="175"/>
      <c r="J864" s="176"/>
      <c r="K864" s="155" t="str">
        <f>IF(E864="","",K861)</f>
        <v/>
      </c>
      <c r="L864" s="29"/>
      <c r="O864" s="945"/>
      <c r="P864" s="94"/>
      <c r="Q864" s="93"/>
      <c r="R864" s="102" t="str">
        <f>CONST_PrecursorToGoodInput&amp;G850 &amp;"_"&amp;E864</f>
        <v>PrecToGood__</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25">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25">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25">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25">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25">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25">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25">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25">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25">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25">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25">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
      <c r="A876" s="91"/>
      <c r="B876" s="94"/>
      <c r="O876" s="428"/>
      <c r="P876" s="94"/>
      <c r="Q876" s="93"/>
      <c r="R876" s="91"/>
      <c r="S876" s="91"/>
      <c r="T876" s="712"/>
      <c r="U876" s="91"/>
      <c r="V876" s="91"/>
      <c r="W876" s="91"/>
      <c r="X876" s="91"/>
      <c r="Y876" s="91"/>
      <c r="Z876" s="91"/>
    </row>
    <row r="877" spans="1:26" ht="12.75" customHeight="1" x14ac:dyDescent="0.25">
      <c r="B877" s="94"/>
      <c r="C877" s="187"/>
      <c r="D877" s="188"/>
      <c r="E877" s="189"/>
      <c r="F877" s="190"/>
      <c r="G877" s="190"/>
      <c r="H877" s="190"/>
      <c r="I877" s="190"/>
      <c r="J877" s="190"/>
      <c r="K877" s="190"/>
      <c r="L877" s="190"/>
      <c r="M877" s="190"/>
      <c r="N877" s="191"/>
      <c r="O877" s="428"/>
      <c r="T877" s="712"/>
    </row>
    <row r="878" spans="1:26" ht="15" customHeight="1" x14ac:dyDescent="0.25">
      <c r="B878" s="94"/>
      <c r="C878" s="192"/>
      <c r="D878" s="193" t="str">
        <f>Translations!$B$279</f>
        <v>Specific embedded emissions:</v>
      </c>
      <c r="E878" s="194"/>
      <c r="F878" s="195"/>
      <c r="G878" s="195"/>
      <c r="H878" s="195"/>
      <c r="I878" s="195"/>
      <c r="J878" s="1327" t="str">
        <f>IF(G850="","",G850)</f>
        <v/>
      </c>
      <c r="K878" s="1327"/>
      <c r="L878" s="1327"/>
      <c r="M878" s="1327"/>
      <c r="N878" s="196"/>
      <c r="O878" s="428"/>
      <c r="T878" s="712"/>
    </row>
    <row r="879" spans="1:26" ht="5.0999999999999996" customHeight="1" x14ac:dyDescent="0.25">
      <c r="B879" s="94"/>
      <c r="C879" s="192"/>
      <c r="D879" s="197"/>
      <c r="E879" s="198"/>
      <c r="F879" s="195"/>
      <c r="G879" s="195"/>
      <c r="H879" s="195"/>
      <c r="I879" s="195"/>
      <c r="J879" s="195"/>
      <c r="K879" s="195"/>
      <c r="L879" s="195"/>
      <c r="M879" s="195"/>
      <c r="N879" s="196"/>
      <c r="O879" s="428"/>
      <c r="T879" s="712"/>
    </row>
    <row r="880" spans="1:26" ht="12.75" customHeight="1" x14ac:dyDescent="0.25">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000000000000004" customHeight="1" x14ac:dyDescent="0.25">
      <c r="B881" s="94"/>
      <c r="C881" s="192"/>
      <c r="D881" s="199"/>
      <c r="E881" s="1326"/>
      <c r="F881" s="1326"/>
      <c r="G881" s="1326"/>
      <c r="H881" s="1326"/>
      <c r="I881" s="1326"/>
      <c r="J881" s="1326"/>
      <c r="K881" s="1326"/>
      <c r="L881" s="1326"/>
      <c r="M881" s="1326"/>
      <c r="N881" s="196"/>
      <c r="O881" s="428"/>
      <c r="T881" s="712"/>
    </row>
    <row r="882" spans="1:26" ht="13.15" customHeight="1" x14ac:dyDescent="0.25">
      <c r="B882" s="94"/>
      <c r="C882" s="192"/>
      <c r="D882" s="199"/>
      <c r="E882" s="1318" t="str">
        <f ca="1">HYPERLINK("#"&amp;ADDRESS(MATCH($S882,G_FurtherGuidance!$S:$S,0),3,,,G_FurtherGuidance!$U$2),CONST_LinkToGuidanceSheet)</f>
        <v>Please click on this link for further guidance on how to complete this section.</v>
      </c>
      <c r="F882" s="1319"/>
      <c r="G882" s="1319"/>
      <c r="H882" s="1319"/>
      <c r="I882" s="1319"/>
      <c r="J882" s="1319"/>
      <c r="K882" s="1319"/>
      <c r="L882" s="1319"/>
      <c r="M882" s="1319"/>
      <c r="N882" s="196"/>
      <c r="O882" s="428"/>
      <c r="R882" s="104" t="s">
        <v>2771</v>
      </c>
      <c r="S882" s="105">
        <v>4</v>
      </c>
      <c r="T882" s="712"/>
    </row>
    <row r="883" spans="1:26" ht="4.9000000000000004" customHeight="1" x14ac:dyDescent="0.25">
      <c r="B883" s="94"/>
      <c r="C883" s="192"/>
      <c r="D883" s="199"/>
      <c r="E883" s="1326"/>
      <c r="F883" s="1326"/>
      <c r="G883" s="1326"/>
      <c r="H883" s="1326"/>
      <c r="I883" s="1326"/>
      <c r="J883" s="1326"/>
      <c r="K883" s="1326"/>
      <c r="L883" s="1326"/>
      <c r="M883" s="1326"/>
      <c r="N883" s="384"/>
      <c r="O883" s="428"/>
      <c r="T883" s="712"/>
    </row>
    <row r="884" spans="1:26" ht="12.75" customHeight="1" x14ac:dyDescent="0.25">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25">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25">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25">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25">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25">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25">
      <c r="B890" s="94"/>
      <c r="C890" s="192"/>
      <c r="D890" s="197" t="s">
        <v>45</v>
      </c>
      <c r="E890" s="201" t="str">
        <f>Translations!$B$1858</f>
        <v>Justification for use of default values (if relevant):</v>
      </c>
      <c r="F890" s="201"/>
      <c r="G890" s="201"/>
      <c r="H890" s="201"/>
      <c r="I890" s="201"/>
      <c r="J890" s="201"/>
      <c r="K890" s="1325"/>
      <c r="L890" s="1325"/>
      <c r="M890" s="1325"/>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25">
      <c r="A892" s="91"/>
      <c r="B892" s="94"/>
      <c r="O892" s="428"/>
      <c r="P892" s="94"/>
      <c r="Q892" s="93"/>
      <c r="R892" s="91"/>
      <c r="S892" s="91"/>
      <c r="T892" s="712"/>
      <c r="U892" s="91"/>
      <c r="V892" s="91"/>
      <c r="W892" s="91"/>
      <c r="X892" s="91"/>
      <c r="Y892" s="91"/>
      <c r="Z892" s="91"/>
    </row>
    <row r="893" spans="1:26" s="144" customFormat="1" ht="12.75" customHeight="1" thickBot="1" x14ac:dyDescent="0.3">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25">
      <c r="A894" s="91"/>
      <c r="P894" s="94"/>
      <c r="Q894" s="93"/>
      <c r="R894" s="91"/>
      <c r="S894" s="91"/>
      <c r="T894" s="91"/>
      <c r="U894" s="91"/>
      <c r="V894" s="91"/>
      <c r="W894" s="91"/>
      <c r="X894" s="91"/>
      <c r="Y894" s="91"/>
      <c r="Z894" s="91"/>
    </row>
    <row r="895" spans="1:26" s="91" customFormat="1" ht="12.75" hidden="1" customHeight="1" x14ac:dyDescent="0.25">
      <c r="A895" s="91" t="s">
        <v>3</v>
      </c>
      <c r="P895" s="92" t="s">
        <v>116</v>
      </c>
    </row>
    <row r="896" spans="1:26" s="91" customFormat="1" ht="12.75" hidden="1" customHeight="1" x14ac:dyDescent="0.25">
      <c r="A896" s="91" t="s">
        <v>3</v>
      </c>
      <c r="P896" s="92"/>
    </row>
    <row r="897" spans="1:16" s="91" customFormat="1" ht="12.75" hidden="1" customHeight="1" x14ac:dyDescent="0.25">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Heller Christian</cp:lastModifiedBy>
  <dcterms:created xsi:type="dcterms:W3CDTF">2023-02-27T08:11:12Z</dcterms:created>
  <dcterms:modified xsi:type="dcterms:W3CDTF">2024-12-13T11:54:01Z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y fmtid="{D5CDD505-2E9C-101B-9397-08002B2CF9AE}" pid="3" name="MSIP_Label_6bd9ddd1-4d20-43f6-abfa-fc3c07406f94_Enabled">
    <vt:lpwstr>true</vt:lpwstr>
  </property>
  <property fmtid="{D5CDD505-2E9C-101B-9397-08002B2CF9AE}" pid="4" name="MSIP_Label_6bd9ddd1-4d20-43f6-abfa-fc3c07406f94_SetDate">
    <vt:lpwstr>2024-11-20T17:34:11Z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4d0140df-b3fe-4cc8-80ae-50b4a9bd2b66</vt:lpwstr>
  </property>
  <property fmtid="{D5CDD505-2E9C-101B-9397-08002B2CF9AE}" pid="9" name="MSIP_Label_6bd9ddd1-4d20-43f6-abfa-fc3c07406f94_ContentBits">
    <vt:lpwstr>0</vt:lpwstr>
  </property>
</Properties>
</file>